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0" windowWidth="9890" windowHeight="5400" tabRatio="950"/>
  </bookViews>
  <sheets>
    <sheet name="Summary Statistics KPI 0" sheetId="6" r:id="rId1"/>
    <sheet name="Screening uptake KPIs 1-7" sheetId="5" r:id="rId2"/>
    <sheet name="Screening performance KPIs 8-9" sheetId="4" r:id="rId3"/>
    <sheet name="Screening outcomes KPIs 10-13" sheetId="3" r:id="rId4"/>
    <sheet name="Ophtalmology perf KPIs 14-17" sheetId="2" r:id="rId5"/>
  </sheets>
  <definedNames>
    <definedName name="_xlnm._FilterDatabase" localSheetId="4" hidden="1">'Ophtalmology perf KPIs 14-17'!#REF!</definedName>
    <definedName name="_xlnm.Print_Area" localSheetId="4">'Ophtalmology perf KPIs 14-17'!$A$1:$V$18</definedName>
    <definedName name="_xlnm.Print_Area" localSheetId="3">'Screening outcomes KPIs 10-13'!$A$1:$Q$17</definedName>
    <definedName name="_xlnm.Print_Area" localSheetId="2">'Screening performance KPIs 8-9'!$A$1:$U$19</definedName>
    <definedName name="_xlnm.Print_Area" localSheetId="1">'Screening uptake KPIs 1-7'!$A$1:$AE$19</definedName>
    <definedName name="_xlnm.Print_Area" localSheetId="0">'Summary Statistics KPI 0'!$A$1:$N$50</definedName>
  </definedNames>
  <calcPr calcId="145621"/>
</workbook>
</file>

<file path=xl/calcChain.xml><?xml version="1.0" encoding="utf-8"?>
<calcChain xmlns="http://schemas.openxmlformats.org/spreadsheetml/2006/main">
  <c r="AD6" i="5" l="1"/>
  <c r="AD7" i="5"/>
  <c r="AD8" i="5"/>
  <c r="AD9" i="5"/>
  <c r="AD10" i="5"/>
  <c r="AD11" i="5"/>
  <c r="AD12" i="5"/>
  <c r="AD13" i="5"/>
  <c r="AD14" i="5"/>
  <c r="AE14" i="5" s="1"/>
  <c r="AD15" i="5"/>
  <c r="AD16" i="5"/>
  <c r="AD17" i="5"/>
  <c r="AE17" i="5" s="1"/>
  <c r="AD18" i="5"/>
  <c r="AE18" i="5" s="1"/>
  <c r="AD5" i="5"/>
  <c r="AC6" i="5"/>
  <c r="AC7" i="5"/>
  <c r="AC8" i="5"/>
  <c r="AE8" i="5" s="1"/>
  <c r="AC9" i="5"/>
  <c r="AC10" i="5"/>
  <c r="AC11" i="5"/>
  <c r="AC12" i="5"/>
  <c r="AE12" i="5" s="1"/>
  <c r="AC13" i="5"/>
  <c r="AC14" i="5"/>
  <c r="AC15" i="5"/>
  <c r="AE15" i="5" s="1"/>
  <c r="AC16" i="5"/>
  <c r="AE16" i="5" s="1"/>
  <c r="AC17" i="5"/>
  <c r="AC18" i="5"/>
  <c r="AC5" i="5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3" i="3"/>
  <c r="S4" i="2"/>
  <c r="K18" i="2"/>
  <c r="L18" i="2" s="1"/>
  <c r="M18" i="2"/>
  <c r="N18" i="2"/>
  <c r="G18" i="2"/>
  <c r="Q19" i="4"/>
  <c r="U18" i="2"/>
  <c r="T18" i="2"/>
  <c r="R18" i="2"/>
  <c r="Q18" i="2"/>
  <c r="O18" i="2"/>
  <c r="P17" i="3"/>
  <c r="N17" i="3"/>
  <c r="M17" i="3"/>
  <c r="K17" i="3"/>
  <c r="I17" i="3"/>
  <c r="G17" i="3"/>
  <c r="T19" i="4"/>
  <c r="G19" i="4"/>
  <c r="AA19" i="5"/>
  <c r="Z19" i="5"/>
  <c r="X19" i="5"/>
  <c r="W19" i="5"/>
  <c r="U19" i="5"/>
  <c r="S19" i="5"/>
  <c r="Q19" i="5"/>
  <c r="O19" i="5"/>
  <c r="L19" i="5"/>
  <c r="J19" i="5"/>
  <c r="I19" i="5"/>
  <c r="B24" i="6"/>
  <c r="C24" i="6"/>
  <c r="C60" i="6" s="1"/>
  <c r="E24" i="6"/>
  <c r="D60" i="6" s="1"/>
  <c r="G24" i="6"/>
  <c r="E18" i="2" s="1"/>
  <c r="I24" i="6"/>
  <c r="B60" i="6" s="1"/>
  <c r="AE13" i="5"/>
  <c r="AE11" i="5"/>
  <c r="AE6" i="5"/>
  <c r="AE5" i="5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4" i="2"/>
  <c r="F4" i="3"/>
  <c r="F5" i="3"/>
  <c r="H5" i="3" s="1"/>
  <c r="F6" i="3"/>
  <c r="H6" i="3" s="1"/>
  <c r="F7" i="3"/>
  <c r="F8" i="3"/>
  <c r="H8" i="3" s="1"/>
  <c r="F9" i="3"/>
  <c r="H9" i="3" s="1"/>
  <c r="F10" i="3"/>
  <c r="H10" i="3" s="1"/>
  <c r="F11" i="3"/>
  <c r="F12" i="3"/>
  <c r="H12" i="3" s="1"/>
  <c r="F13" i="3"/>
  <c r="H13" i="3" s="1"/>
  <c r="F14" i="3"/>
  <c r="F15" i="3"/>
  <c r="F16" i="3"/>
  <c r="H16" i="3" s="1"/>
  <c r="F3" i="3"/>
  <c r="H3" i="3" s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3" i="3"/>
  <c r="R19" i="4"/>
  <c r="S19" i="4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4" i="2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4" i="2"/>
  <c r="H4" i="2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H11" i="3"/>
  <c r="H14" i="3"/>
  <c r="H15" i="3"/>
  <c r="B5" i="5"/>
  <c r="F6" i="5"/>
  <c r="R6" i="5" s="1"/>
  <c r="F7" i="5"/>
  <c r="R7" i="5" s="1"/>
  <c r="F8" i="5"/>
  <c r="R8" i="5" s="1"/>
  <c r="F9" i="5"/>
  <c r="M9" i="5" s="1"/>
  <c r="F10" i="5"/>
  <c r="T10" i="5" s="1"/>
  <c r="F11" i="5"/>
  <c r="K11" i="5" s="1"/>
  <c r="F12" i="5"/>
  <c r="K12" i="5" s="1"/>
  <c r="F13" i="5"/>
  <c r="R13" i="5" s="1"/>
  <c r="F14" i="5"/>
  <c r="M14" i="5" s="1"/>
  <c r="F15" i="5"/>
  <c r="T15" i="5" s="1"/>
  <c r="F16" i="5"/>
  <c r="R16" i="5" s="1"/>
  <c r="F17" i="5"/>
  <c r="R17" i="5" s="1"/>
  <c r="F18" i="5"/>
  <c r="R18" i="5" s="1"/>
  <c r="F5" i="5"/>
  <c r="V5" i="5" s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AB18" i="5"/>
  <c r="Y18" i="5"/>
  <c r="AB17" i="5"/>
  <c r="Y17" i="5"/>
  <c r="AB16" i="5"/>
  <c r="Y16" i="5"/>
  <c r="AB15" i="5"/>
  <c r="Y15" i="5"/>
  <c r="AB14" i="5"/>
  <c r="Y14" i="5"/>
  <c r="AB13" i="5"/>
  <c r="Y13" i="5"/>
  <c r="AB12" i="5"/>
  <c r="Y12" i="5"/>
  <c r="AB11" i="5"/>
  <c r="Y11" i="5"/>
  <c r="AB10" i="5"/>
  <c r="Y10" i="5"/>
  <c r="AB9" i="5"/>
  <c r="Y9" i="5"/>
  <c r="AB8" i="5"/>
  <c r="Y8" i="5"/>
  <c r="AB7" i="5"/>
  <c r="Y7" i="5"/>
  <c r="AB6" i="5"/>
  <c r="Y6" i="5"/>
  <c r="AB5" i="5"/>
  <c r="Y5" i="5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3" i="3"/>
  <c r="H4" i="3"/>
  <c r="H7" i="3"/>
  <c r="O19" i="4"/>
  <c r="N19" i="4"/>
  <c r="L19" i="4"/>
  <c r="M19" i="4" s="1"/>
  <c r="K19" i="4"/>
  <c r="I19" i="4"/>
  <c r="H19" i="4"/>
  <c r="J19" i="4" s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5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5" i="4"/>
  <c r="V13" i="5"/>
  <c r="D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AC19" i="5" l="1"/>
  <c r="AE19" i="5" s="1"/>
  <c r="E17" i="3"/>
  <c r="AE10" i="5"/>
  <c r="AE9" i="5"/>
  <c r="AE7" i="5"/>
  <c r="AD19" i="5"/>
  <c r="O17" i="3"/>
  <c r="F19" i="5"/>
  <c r="M19" i="5" s="1"/>
  <c r="R10" i="5"/>
  <c r="C17" i="3"/>
  <c r="K15" i="5"/>
  <c r="K5" i="5"/>
  <c r="H24" i="6"/>
  <c r="E60" i="6"/>
  <c r="E19" i="5"/>
  <c r="F24" i="6"/>
  <c r="D19" i="5"/>
  <c r="P19" i="4"/>
  <c r="P18" i="2"/>
  <c r="J18" i="2"/>
  <c r="L17" i="3"/>
  <c r="V16" i="5"/>
  <c r="C63" i="6"/>
  <c r="J24" i="6"/>
  <c r="V6" i="5"/>
  <c r="T5" i="5"/>
  <c r="T16" i="5"/>
  <c r="P11" i="5"/>
  <c r="V15" i="5"/>
  <c r="V8" i="5"/>
  <c r="P5" i="5"/>
  <c r="K8" i="5"/>
  <c r="M8" i="5"/>
  <c r="M17" i="5"/>
  <c r="T8" i="5"/>
  <c r="T18" i="5"/>
  <c r="K13" i="5"/>
  <c r="P12" i="5"/>
  <c r="T12" i="5"/>
  <c r="R9" i="5"/>
  <c r="R12" i="5"/>
  <c r="M12" i="5"/>
  <c r="N12" i="5" s="1"/>
  <c r="K9" i="5"/>
  <c r="N9" i="5" s="1"/>
  <c r="M13" i="5"/>
  <c r="T17" i="5"/>
  <c r="T13" i="5"/>
  <c r="K17" i="5"/>
  <c r="P13" i="5"/>
  <c r="P9" i="5"/>
  <c r="T9" i="5"/>
  <c r="P17" i="5"/>
  <c r="T6" i="5"/>
  <c r="V10" i="5"/>
  <c r="P18" i="5"/>
  <c r="B63" i="6"/>
  <c r="P8" i="5"/>
  <c r="M5" i="5"/>
  <c r="P15" i="5"/>
  <c r="R11" i="5"/>
  <c r="K7" i="5"/>
  <c r="T7" i="5"/>
  <c r="M11" i="5"/>
  <c r="N11" i="5" s="1"/>
  <c r="M7" i="5"/>
  <c r="P7" i="5"/>
  <c r="V7" i="5"/>
  <c r="V12" i="5"/>
  <c r="V11" i="5"/>
  <c r="M16" i="5"/>
  <c r="M15" i="5"/>
  <c r="T11" i="5"/>
  <c r="R15" i="5"/>
  <c r="R5" i="5"/>
  <c r="P16" i="5"/>
  <c r="F18" i="2"/>
  <c r="H18" i="2" s="1"/>
  <c r="F17" i="3"/>
  <c r="D17" i="3"/>
  <c r="D18" i="2"/>
  <c r="C19" i="5"/>
  <c r="C18" i="2"/>
  <c r="D24" i="6"/>
  <c r="J17" i="3"/>
  <c r="Q17" i="3"/>
  <c r="H17" i="3"/>
  <c r="U19" i="4"/>
  <c r="AB19" i="5"/>
  <c r="Y19" i="5"/>
  <c r="V14" i="5"/>
  <c r="V18" i="5"/>
  <c r="K14" i="5"/>
  <c r="N14" i="5" s="1"/>
  <c r="M10" i="5"/>
  <c r="P14" i="5"/>
  <c r="R14" i="5"/>
  <c r="K18" i="5"/>
  <c r="M18" i="5"/>
  <c r="P6" i="5"/>
  <c r="T14" i="5"/>
  <c r="M6" i="5"/>
  <c r="K10" i="5"/>
  <c r="K6" i="5"/>
  <c r="V9" i="5"/>
  <c r="V18" i="2"/>
  <c r="K19" i="5"/>
  <c r="S18" i="2"/>
  <c r="V19" i="5"/>
  <c r="V17" i="5"/>
  <c r="P10" i="5"/>
  <c r="P19" i="5" l="1"/>
  <c r="T19" i="5"/>
  <c r="R19" i="5"/>
  <c r="N15" i="5"/>
  <c r="N5" i="5"/>
  <c r="N17" i="5"/>
  <c r="N8" i="5"/>
  <c r="N7" i="5"/>
  <c r="N13" i="5"/>
  <c r="N10" i="5"/>
  <c r="N6" i="5"/>
  <c r="N18" i="5"/>
  <c r="N19" i="5"/>
</calcChain>
</file>

<file path=xl/comments1.xml><?xml version="1.0" encoding="utf-8"?>
<comments xmlns="http://schemas.openxmlformats.org/spreadsheetml/2006/main">
  <authors>
    <author>Mike Black</author>
  </authors>
  <commentList>
    <comment ref="N16" authorId="0">
      <text>
        <r>
          <rPr>
            <b/>
            <sz val="8"/>
            <color indexed="81"/>
            <rFont val="Tahoma"/>
            <family val="2"/>
          </rPr>
          <t>Mike Black:</t>
        </r>
        <r>
          <rPr>
            <sz val="8"/>
            <color indexed="81"/>
            <rFont val="Tahoma"/>
            <family val="2"/>
          </rPr>
          <t xml:space="preserve">
NHS Shetland actually have a low DNA rate. No rate is entered because of the calculation used.   </t>
        </r>
      </text>
    </comment>
  </commentList>
</comments>
</file>

<file path=xl/sharedStrings.xml><?xml version="1.0" encoding="utf-8"?>
<sst xmlns="http://schemas.openxmlformats.org/spreadsheetml/2006/main" count="253" uniqueCount="139">
  <si>
    <t xml:space="preserve">KPI 0: Summary Statistics </t>
  </si>
  <si>
    <t xml:space="preserve">Total Population (TP) </t>
  </si>
  <si>
    <t xml:space="preserve">Borders </t>
  </si>
  <si>
    <t xml:space="preserve">Dumfries and Galloway </t>
  </si>
  <si>
    <t xml:space="preserve">Fife </t>
  </si>
  <si>
    <t xml:space="preserve">Forth Valley </t>
  </si>
  <si>
    <t xml:space="preserve">Grampian </t>
  </si>
  <si>
    <t xml:space="preserve">Greater Glasgow </t>
  </si>
  <si>
    <t xml:space="preserve">Highland </t>
  </si>
  <si>
    <t xml:space="preserve">Lanarkshire </t>
  </si>
  <si>
    <t xml:space="preserve">Lothian </t>
  </si>
  <si>
    <t xml:space="preserve">Orkney </t>
  </si>
  <si>
    <t xml:space="preserve">Shetland </t>
  </si>
  <si>
    <t xml:space="preserve">Tayside </t>
  </si>
  <si>
    <t xml:space="preserve">Temporarily suspended (TS) </t>
  </si>
  <si>
    <t xml:space="preserve">Temporarily unavailable (TU) </t>
  </si>
  <si>
    <t xml:space="preserve">Eligible Population (EP = TP-TS-PS+TU) </t>
  </si>
  <si>
    <t xml:space="preserve">Screening population (SP) </t>
  </si>
  <si>
    <t>Board of treatment</t>
  </si>
  <si>
    <t xml:space="preserve">Permanently suspended (PS) </t>
  </si>
  <si>
    <t xml:space="preserve">Ayrshire &amp; Arran </t>
  </si>
  <si>
    <t xml:space="preserve">Western Isles </t>
  </si>
  <si>
    <t xml:space="preserve">Patients with an outcome of 'Refer to Ophthalmology ' in the first 6 month of the interval (RO) </t>
  </si>
  <si>
    <t xml:space="preserve">Average of the number of days to Ophthalmology  examination (ADOE) </t>
  </si>
  <si>
    <t>KPI 16: Ophthalmology attendance rate</t>
  </si>
  <si>
    <t xml:space="preserve">KPI 17: Ophthalmology suspensions rate </t>
  </si>
  <si>
    <t>People temporarily suspended from screening for reason of "under the care of Ophthalmologist" (UCO)</t>
  </si>
  <si>
    <t xml:space="preserve">People with last result 'observable' in the first 6 month of the interval (POR) </t>
  </si>
  <si>
    <t xml:space="preserve">People within POR who commenced an examination within 6 month (PC6M) </t>
  </si>
  <si>
    <t xml:space="preserve">KPI 11: Six Month Recall result rate </t>
  </si>
  <si>
    <t xml:space="preserve">KPI 12: Six Month recall rescreen rate </t>
  </si>
  <si>
    <t xml:space="preserve">KPI 13: Referable Result rate </t>
  </si>
  <si>
    <t xml:space="preserve">KPI 7A: Annual photographic technical failure rate </t>
  </si>
  <si>
    <t xml:space="preserve">Photographic screenings (PS) </t>
  </si>
  <si>
    <t xml:space="preserve">Slit lamp screenings (SL) </t>
  </si>
  <si>
    <t xml:space="preserve">Unsuccessful slit lamp screening episodes (USL) </t>
  </si>
  <si>
    <t xml:space="preserve">KPI 7: Annual overall technical failure rate </t>
  </si>
  <si>
    <t xml:space="preserve">Slit lamp screenings + photographic screenings (SLPS) </t>
  </si>
  <si>
    <t xml:space="preserve">Longest recorded number of days to written report (LRD) </t>
  </si>
  <si>
    <t xml:space="preserve">Average of the number of days to written report (AD) </t>
  </si>
  <si>
    <t xml:space="preserve">Median of the number of days to written report (MD) </t>
  </si>
  <si>
    <t xml:space="preserve">Number of episodes (NE) </t>
  </si>
  <si>
    <t xml:space="preserve">KPI 9: Written report success rate </t>
  </si>
  <si>
    <t xml:space="preserve">KPI 7B: Annual slit lamp technical failure rate </t>
  </si>
  <si>
    <t xml:space="preserve">KPI 8: Duration to written report </t>
  </si>
  <si>
    <t xml:space="preserve">People attending screening without invitation (API) </t>
  </si>
  <si>
    <t xml:space="preserve">People invited at least once (INV) </t>
  </si>
  <si>
    <t xml:space="preserve">People successfully screened (biennial) (BIE) </t>
  </si>
  <si>
    <t xml:space="preserve">KPI 6: Annual patient technical recall rate </t>
  </si>
  <si>
    <t xml:space="preserve">People unsuccessfully screened (UNSUC) </t>
  </si>
  <si>
    <t xml:space="preserve">People attending at least once (ATT) </t>
  </si>
  <si>
    <t xml:space="preserve">KPI 14: Ophthalmology Report Interval </t>
  </si>
  <si>
    <t>% (100 * TS/TP)</t>
  </si>
  <si>
    <t>% (100 * PS/TP)</t>
  </si>
  <si>
    <t>% (100*TU/TP)</t>
  </si>
  <si>
    <t>% (100*EP/TP)</t>
  </si>
  <si>
    <r>
      <t xml:space="preserve">Longest recorded to Ophthalmology  examination for the first qualifying episode 
</t>
    </r>
    <r>
      <rPr>
        <sz val="8"/>
        <rFont val="Arial"/>
        <family val="2"/>
      </rPr>
      <t>(based on 30 days/month - months&amp;days)</t>
    </r>
  </si>
  <si>
    <t xml:space="preserve">KPI 10: Twelve Month Recall result rate </t>
  </si>
  <si>
    <t xml:space="preserve">Unsuccessful photographic screening episodes (UPS) </t>
  </si>
  <si>
    <t>Longest recorded days to opthalmology examination for the first qualifying episode (LRDOE)</t>
  </si>
  <si>
    <t>Scotland</t>
  </si>
  <si>
    <t xml:space="preserve">% (100 * UNSUC / EP) </t>
  </si>
  <si>
    <t xml:space="preserve">% (100 * BIE / EP) </t>
  </si>
  <si>
    <t xml:space="preserve">% (100 * SUC2 /EP) </t>
  </si>
  <si>
    <t xml:space="preserve">% (100 * SUC1 /EP) </t>
  </si>
  <si>
    <t xml:space="preserve">% (100 * ATT / EP) </t>
  </si>
  <si>
    <t xml:space="preserve">% (100 * INV / (EP - API)) </t>
  </si>
  <si>
    <t xml:space="preserve">% (100 * UPS/ PS) </t>
  </si>
  <si>
    <t xml:space="preserve">% (100 * USL / SL) </t>
  </si>
  <si>
    <t xml:space="preserve">% (100 * USLUPS / SLPS) </t>
  </si>
  <si>
    <t xml:space="preserve">% (100 * E20D / NE) </t>
  </si>
  <si>
    <t>% (100* SSE/EP)</t>
  </si>
  <si>
    <t xml:space="preserve">% (100 * SEN / SSE) </t>
  </si>
  <si>
    <t xml:space="preserve">% (100 * SEO / SSE) </t>
  </si>
  <si>
    <t xml:space="preserve">%  (100 * PC6M / POR) </t>
  </si>
  <si>
    <t xml:space="preserve">% (100 * SER / SSE) </t>
  </si>
  <si>
    <t>% (100 * RO/EP)</t>
  </si>
  <si>
    <t>% (100 * SOE/RO)</t>
  </si>
  <si>
    <t>% (100 * REFT / RO)</t>
  </si>
  <si>
    <t xml:space="preserve">% (100 * OPHTH / SP) </t>
  </si>
  <si>
    <t xml:space="preserve">% (100 * UCO / SP) </t>
  </si>
  <si>
    <t xml:space="preserve">Episodes with &lt;= 20 working days to written report (E20D) </t>
  </si>
  <si>
    <t xml:space="preserve">Unsuccessful slit lamp screenings &amp; photographic screenings (USLUPS) </t>
  </si>
  <si>
    <t xml:space="preserve">Successful screening episodes (excl. ophthalmology examinations) (SSE) </t>
  </si>
  <si>
    <t xml:space="preserve">Screening episodes (excl. ophthalmology examinations) with observable result (SEO) </t>
  </si>
  <si>
    <t xml:space="preserve">Screening episodes (excl. ophthalmology examinations) with negative result (SEN) </t>
  </si>
  <si>
    <t xml:space="preserve">Screening episodes (excl. ophthalmology examinations) with referable result (SER) </t>
  </si>
  <si>
    <t xml:space="preserve">People who attended at least 1 Ophthalmology examination with a screening outcome of 'Re-screen in 12 months', 'Re-screen in 6 months' or 'Retain under Ophthalmology review' (OPHTH) </t>
  </si>
  <si>
    <t xml:space="preserve">Patients within RO with a subsequent Ophthalmology examination (SOE) </t>
  </si>
  <si>
    <r>
      <t xml:space="preserve">The proportion of those invited to screening by digital photography who have a digital screening outcome. = &gt; 80% (achievable)
= 70% (minimum) 
</t>
    </r>
    <r>
      <rPr>
        <b/>
        <sz val="10"/>
        <color indexed="12"/>
        <rFont val="Arial"/>
        <family val="2"/>
      </rPr>
      <t>National Standards</t>
    </r>
  </si>
  <si>
    <t xml:space="preserve">KPI 15: Ophthalmology review target </t>
  </si>
  <si>
    <t xml:space="preserve">Patients with an outcome of 'Refer to Ophthalmology ' in the first 6 months of the interval (RO) </t>
  </si>
  <si>
    <t xml:space="preserve">Number of these patients for whom the days to Ophthalmology examination is less than or equal to referral target (90 days) (REFT) </t>
  </si>
  <si>
    <r>
      <t xml:space="preserve">90 days (default value) </t>
    </r>
    <r>
      <rPr>
        <b/>
        <sz val="10"/>
        <color indexed="12"/>
        <rFont val="Arial"/>
        <family val="2"/>
      </rPr>
      <t>KPIs</t>
    </r>
    <r>
      <rPr>
        <sz val="10"/>
        <color indexed="10"/>
        <rFont val="Arial"/>
        <family val="2"/>
      </rPr>
      <t xml:space="preserve"> /
Time between notification of positive test and consultation: </t>
    </r>
    <r>
      <rPr>
        <u/>
        <sz val="10"/>
        <color indexed="10"/>
        <rFont val="Arial"/>
        <family val="2"/>
      </rPr>
      <t xml:space="preserve">Minimum standard: </t>
    </r>
    <r>
      <rPr>
        <sz val="10"/>
        <color indexed="10"/>
        <rFont val="Arial"/>
        <family val="2"/>
      </rPr>
      <t xml:space="preserve">
1.a. 60% &lt;2 weeks 
1.b. 95% &lt;4 weeks 
2.a. 70% &lt;13 weeks 
2.b. 95% &lt; 18 weeks
</t>
    </r>
    <r>
      <rPr>
        <u/>
        <sz val="10"/>
        <color indexed="10"/>
        <rFont val="Arial"/>
        <family val="2"/>
      </rPr>
      <t xml:space="preserve">Achievable standard: </t>
    </r>
    <r>
      <rPr>
        <sz val="10"/>
        <color indexed="10"/>
        <rFont val="Arial"/>
        <family val="2"/>
      </rPr>
      <t xml:space="preserve">
1. 95% &lt;2 weeks 
2. 95% &lt;13 weeks 
 </t>
    </r>
    <r>
      <rPr>
        <b/>
        <sz val="10"/>
        <color indexed="12"/>
        <rFont val="Arial"/>
        <family val="2"/>
      </rPr>
      <t>National Standards</t>
    </r>
  </si>
  <si>
    <t>KPI 0: National Summary Statistics</t>
  </si>
  <si>
    <t xml:space="preserve">As low as possible </t>
  </si>
  <si>
    <r>
      <t>Referral Target: Number of days entered by the user. The default value shall be 90 days</t>
    </r>
    <r>
      <rPr>
        <b/>
        <sz val="10"/>
        <color indexed="12"/>
        <rFont val="Arial"/>
        <family val="2"/>
      </rPr>
      <t xml:space="preserve"> KPIs</t>
    </r>
  </si>
  <si>
    <t xml:space="preserve">DNA rate </t>
  </si>
  <si>
    <t>Indicative DNA rate by %</t>
  </si>
  <si>
    <t xml:space="preserve">% (100 * INV - ATT) </t>
  </si>
  <si>
    <t>N/A</t>
  </si>
  <si>
    <t xml:space="preserve">People successfully screened in reporting period (SUC) </t>
  </si>
  <si>
    <t xml:space="preserve">People successfully screened in the prev year (ANN) </t>
  </si>
  <si>
    <t>HIS Target June 2016</t>
  </si>
  <si>
    <t xml:space="preserve">Call/Recall (HIS Standards 2) </t>
  </si>
  <si>
    <t>2.3 The invitation to attend diabetic retinopathy screening is offered to all newly diagnosed patients within 30 calendar days of the DRS Collaborative4 receiving notification.</t>
  </si>
  <si>
    <t>2.4 The date of the appointment offered to all newly diagnosed patients is within 90 calendar days of the DRS Collaborative4 receiving notification.</t>
  </si>
  <si>
    <t>Old Targets (QIS 2004)</t>
  </si>
  <si>
    <r>
      <t xml:space="preserve">NHS boards achieve an uptake of </t>
    </r>
    <r>
      <rPr>
        <b/>
        <sz val="10"/>
        <color rgb="FFFF0000"/>
        <rFont val="Arial"/>
        <family val="2"/>
      </rPr>
      <t>80%</t>
    </r>
    <r>
      <rPr>
        <b/>
        <sz val="10"/>
        <color rgb="FF0000FF"/>
        <rFont val="Arial"/>
        <family val="2"/>
      </rPr>
      <t xml:space="preserve"> pa. (HIS Standard 3.2)</t>
    </r>
  </si>
  <si>
    <r>
      <t xml:space="preserve">A minimum of </t>
    </r>
    <r>
      <rPr>
        <sz val="10"/>
        <color rgb="FFFF0000"/>
        <rFont val="Arial"/>
        <family val="2"/>
      </rPr>
      <t>95%</t>
    </r>
    <r>
      <rPr>
        <sz val="10"/>
        <color rgb="FF0000FF"/>
        <rFont val="Arial"/>
        <family val="2"/>
      </rPr>
      <t xml:space="preserve"> of people screened are sent the result within 20 working days of being screened. </t>
    </r>
  </si>
  <si>
    <t xml:space="preserve">Old Targets (QIS 2004) </t>
  </si>
  <si>
    <t xml:space="preserve">A minimum of 80% of people screened are sent the result in writing within 4 weeks (20 working days) of the photograph being taken (STANDARD 3 ~ Screening Process).
QIS Standards </t>
  </si>
  <si>
    <r>
      <t xml:space="preserve">80% </t>
    </r>
    <r>
      <rPr>
        <b/>
        <sz val="10"/>
        <color theme="1"/>
        <rFont val="Arial"/>
        <family val="2"/>
      </rPr>
      <t>KPI Target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</si>
  <si>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2.0%</t>
    </r>
    <r>
      <rPr>
        <b/>
        <sz val="10"/>
        <color rgb="FF0000FF"/>
        <rFont val="Arial"/>
        <family val="2"/>
      </rPr>
      <t xml:space="preserve"> for slit lamp examinations. (HIS Standard 4.3)</t>
    </r>
  </si>
  <si>
    <r>
      <t xml:space="preserve">Within </t>
    </r>
    <r>
      <rPr>
        <b/>
        <sz val="10"/>
        <color rgb="FFFF0000"/>
        <rFont val="Arial"/>
        <family val="2"/>
      </rPr>
      <t>90</t>
    </r>
    <r>
      <rPr>
        <b/>
        <sz val="10"/>
        <color rgb="FF0000FF"/>
        <rFont val="Arial"/>
        <family val="2"/>
      </rPr>
      <t xml:space="preserve"> calendar days for newly diagnosed appointment date. (HIS Standard 2.4)</t>
    </r>
  </si>
  <si>
    <r>
      <t xml:space="preserve">Within </t>
    </r>
    <r>
      <rPr>
        <b/>
        <sz val="10"/>
        <color rgb="FFFF0000"/>
        <rFont val="Arial"/>
        <family val="2"/>
      </rPr>
      <t>30</t>
    </r>
    <r>
      <rPr>
        <b/>
        <sz val="10"/>
        <color rgb="FF0000FF"/>
        <rFont val="Arial"/>
        <family val="2"/>
      </rPr>
      <t xml:space="preserve"> calendar days for newly diagnosed appointment offer. (HIS Standard 2.3)</t>
    </r>
  </si>
  <si>
    <t>Old Targets</t>
  </si>
  <si>
    <t>KPI 2: Screening uptake rate        (HIS Standard 3)</t>
  </si>
  <si>
    <t xml:space="preserve">KPI 4: Successful screening rate            (HIS Standard 3) </t>
  </si>
  <si>
    <t>KPI 1: Screening invitation rate           (HIS Standard 3)</t>
  </si>
  <si>
    <t xml:space="preserve">KPI 7A: Annual photographic technical failure rate                        (HIS Standard 4) </t>
  </si>
  <si>
    <t>KPI 3: Annual successful screening rate (HIS Standard 3)</t>
  </si>
  <si>
    <t>KPI 5: Biennial successful screening rate (HIS Standard 3)</t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</si>
  <si>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2.5%</t>
    </r>
    <r>
      <rPr>
        <b/>
        <sz val="10"/>
        <color rgb="FF0000FF"/>
        <rFont val="Arial"/>
        <family val="2"/>
      </rPr>
      <t xml:space="preserve"> for digital imaging               (HIS Standard 4.3)</t>
    </r>
  </si>
  <si>
    <t>Diabetic Retinopathy Screening Service reports for Q4 2016</t>
  </si>
  <si>
    <t>Total Diabetic Population Q4 2016 = 315,218</t>
  </si>
  <si>
    <t>Eligible Pop = 271,013</t>
  </si>
  <si>
    <t>Temp Suspended = 25,304</t>
  </si>
  <si>
    <t>Permanently Suspended = 24,049</t>
  </si>
  <si>
    <t>Temporarily Unavailable = 5,148</t>
  </si>
  <si>
    <t>Eligible Population Q4 2016= 271,013</t>
  </si>
  <si>
    <t>Attended = 186,916 (69.0%)</t>
  </si>
  <si>
    <t xml:space="preserve">Not yet attended = 84,097 (31.0%) </t>
  </si>
  <si>
    <t xml:space="preserve">Report start date - 01/04/2016 report reference date - 31/03/2017  Report Interval =  365 days (***Soarian was shut down on Monday 6th Feb***) </t>
  </si>
  <si>
    <r>
      <t>NHS boards achieve an attendance of</t>
    </r>
    <r>
      <rPr>
        <b/>
        <sz val="10"/>
        <color rgb="FFFF0000"/>
        <rFont val="Arial"/>
        <family val="2"/>
      </rPr>
      <t xml:space="preserve"> 80%</t>
    </r>
    <r>
      <rPr>
        <b/>
        <sz val="10"/>
        <color rgb="FF0000FF"/>
        <rFont val="Arial"/>
        <family val="2"/>
      </rPr>
      <t xml:space="preserve"> for Q4. (HIS Standard 3.1)</t>
    </r>
  </si>
  <si>
    <r>
      <t>NHS boards achieve an uptake of</t>
    </r>
    <r>
      <rPr>
        <b/>
        <sz val="10"/>
        <color rgb="FFFF0000"/>
        <rFont val="Arial"/>
        <family val="2"/>
      </rPr>
      <t xml:space="preserve"> 60%</t>
    </r>
    <r>
      <rPr>
        <b/>
        <sz val="10"/>
        <color rgb="FF0000FF"/>
        <rFont val="Arial"/>
        <family val="2"/>
      </rPr>
      <t xml:space="preserve"> for Q4                         (HIS Standard 3.2)</t>
    </r>
  </si>
  <si>
    <r>
      <rPr>
        <b/>
        <sz val="10"/>
        <color rgb="FFFF0000"/>
        <rFont val="Arial"/>
        <family val="2"/>
      </rPr>
      <t xml:space="preserve">100% </t>
    </r>
    <r>
      <rPr>
        <b/>
        <sz val="10"/>
        <color rgb="FF0000FF"/>
        <rFont val="Arial"/>
        <family val="2"/>
      </rPr>
      <t>for Q4 of eligible people, regardless of personal circumstances or characteristics are offered an opportunity to attend. (HIS Standard 3.3)</t>
    </r>
  </si>
  <si>
    <r>
      <t xml:space="preserve">100% </t>
    </r>
    <r>
      <rPr>
        <b/>
        <sz val="10"/>
        <color theme="1"/>
        <rFont val="Arial"/>
        <family val="2"/>
      </rPr>
      <t>KPI Target for Q4 - QIS standards 2(a) 1</t>
    </r>
  </si>
  <si>
    <r>
      <t xml:space="preserve">80% </t>
    </r>
    <r>
      <rPr>
        <b/>
        <sz val="10"/>
        <color theme="1"/>
        <rFont val="Arial"/>
        <family val="2"/>
      </rPr>
      <t>KPI Target for Q3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</si>
</sst>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Trellis"/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0" fillId="3" borderId="0" xfId="0" applyFill="1"/>
    <xf numFmtId="0" fontId="0" fillId="0" borderId="0" xfId="0" applyFill="1" applyAlignment="1">
      <alignment wrapText="1"/>
    </xf>
    <xf numFmtId="164" fontId="3" fillId="2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1" fillId="0" borderId="8" xfId="0" applyFont="1" applyBorder="1" applyAlignment="1">
      <alignment horizontal="left" wrapText="1"/>
    </xf>
    <xf numFmtId="0" fontId="0" fillId="4" borderId="9" xfId="0" applyFill="1" applyBorder="1"/>
    <xf numFmtId="0" fontId="0" fillId="4" borderId="10" xfId="0" applyFill="1" applyBorder="1"/>
    <xf numFmtId="0" fontId="0" fillId="0" borderId="11" xfId="0" applyBorder="1"/>
    <xf numFmtId="0" fontId="9" fillId="4" borderId="12" xfId="0" applyFont="1" applyFill="1" applyBorder="1" applyAlignment="1">
      <alignment textRotation="90" wrapText="1"/>
    </xf>
    <xf numFmtId="0" fontId="9" fillId="4" borderId="13" xfId="0" applyFont="1" applyFill="1" applyBorder="1" applyAlignment="1">
      <alignment textRotation="90" wrapText="1"/>
    </xf>
    <xf numFmtId="0" fontId="8" fillId="4" borderId="14" xfId="0" applyFont="1" applyFill="1" applyBorder="1" applyAlignment="1">
      <alignment horizontal="center" textRotation="90"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164" fontId="3" fillId="6" borderId="5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3" fontId="1" fillId="8" borderId="3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9" borderId="26" xfId="0" applyFont="1" applyFill="1" applyBorder="1" applyAlignment="1">
      <alignment horizontal="left"/>
    </xf>
    <xf numFmtId="164" fontId="4" fillId="9" borderId="32" xfId="0" applyNumberFormat="1" applyFont="1" applyFill="1" applyBorder="1" applyAlignment="1">
      <alignment horizontal="center" vertical="center"/>
    </xf>
    <xf numFmtId="0" fontId="1" fillId="0" borderId="0" xfId="0" applyFont="1"/>
    <xf numFmtId="0" fontId="5" fillId="0" borderId="35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/>
    <xf numFmtId="0" fontId="13" fillId="0" borderId="0" xfId="0" applyFont="1" applyAlignment="1"/>
    <xf numFmtId="0" fontId="1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0" xfId="0" applyFill="1" applyBorder="1" applyAlignment="1">
      <alignment horizontal="center" vertical="center" textRotation="90" wrapText="1"/>
    </xf>
    <xf numFmtId="0" fontId="19" fillId="0" borderId="0" xfId="0" applyFont="1"/>
    <xf numFmtId="0" fontId="19" fillId="0" borderId="0" xfId="0" applyFont="1" applyAlignment="1">
      <alignment wrapText="1"/>
    </xf>
    <xf numFmtId="3" fontId="20" fillId="0" borderId="0" xfId="0" applyNumberFormat="1" applyFont="1" applyAlignment="1">
      <alignment horizontal="right" wrapText="1"/>
    </xf>
    <xf numFmtId="3" fontId="19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1" fillId="3" borderId="0" xfId="0" applyFont="1" applyFill="1"/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9" borderId="26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wrapText="1"/>
    </xf>
    <xf numFmtId="0" fontId="1" fillId="9" borderId="9" xfId="0" applyFont="1" applyFill="1" applyBorder="1" applyAlignment="1">
      <alignment horizontal="left" vertical="center" wrapText="1"/>
    </xf>
    <xf numFmtId="164" fontId="3" fillId="2" borderId="15" xfId="0" applyNumberFormat="1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1" fillId="2" borderId="33" xfId="0" applyFont="1" applyFill="1" applyBorder="1" applyAlignment="1">
      <alignment horizontal="center" vertical="center" textRotation="90" wrapText="1"/>
    </xf>
    <xf numFmtId="164" fontId="3" fillId="2" borderId="38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4" fontId="3" fillId="2" borderId="4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42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9" borderId="26" xfId="0" applyFont="1" applyFill="1" applyBorder="1" applyAlignment="1">
      <alignment horizontal="left" vertical="center"/>
    </xf>
    <xf numFmtId="0" fontId="1" fillId="9" borderId="3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wrapText="1"/>
    </xf>
    <xf numFmtId="0" fontId="1" fillId="3" borderId="0" xfId="0" applyFont="1" applyFill="1" applyBorder="1" applyAlignment="1">
      <alignment horizontal="center" vertical="center"/>
    </xf>
    <xf numFmtId="164" fontId="16" fillId="2" borderId="35" xfId="0" applyNumberFormat="1" applyFont="1" applyFill="1" applyBorder="1" applyAlignment="1">
      <alignment horizontal="center" vertical="center"/>
    </xf>
    <xf numFmtId="164" fontId="16" fillId="2" borderId="38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/>
    </xf>
    <xf numFmtId="164" fontId="16" fillId="6" borderId="4" xfId="0" applyNumberFormat="1" applyFont="1" applyFill="1" applyBorder="1" applyAlignment="1">
      <alignment horizontal="center" vertical="center"/>
    </xf>
    <xf numFmtId="164" fontId="16" fillId="6" borderId="5" xfId="0" applyNumberFormat="1" applyFont="1" applyFill="1" applyBorder="1" applyAlignment="1">
      <alignment horizontal="center" vertical="center"/>
    </xf>
    <xf numFmtId="164" fontId="16" fillId="2" borderId="39" xfId="0" applyNumberFormat="1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164" fontId="15" fillId="9" borderId="31" xfId="0" applyNumberFormat="1" applyFont="1" applyFill="1" applyBorder="1" applyAlignment="1">
      <alignment horizontal="center" vertical="center"/>
    </xf>
    <xf numFmtId="164" fontId="15" fillId="9" borderId="32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3" fillId="2" borderId="39" xfId="0" applyNumberFormat="1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1" fillId="9" borderId="7" xfId="0" applyFont="1" applyFill="1" applyBorder="1" applyAlignment="1">
      <alignment horizontal="left" vertical="center"/>
    </xf>
    <xf numFmtId="164" fontId="1" fillId="9" borderId="32" xfId="0" applyNumberFormat="1" applyFont="1" applyFill="1" applyBorder="1" applyAlignment="1">
      <alignment horizontal="center" vertical="center"/>
    </xf>
    <xf numFmtId="3" fontId="1" fillId="9" borderId="7" xfId="0" applyNumberFormat="1" applyFont="1" applyFill="1" applyBorder="1" applyAlignment="1">
      <alignment horizontal="center" vertical="center"/>
    </xf>
    <xf numFmtId="164" fontId="4" fillId="9" borderId="7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center" wrapText="1" shrinkToFit="1"/>
    </xf>
    <xf numFmtId="165" fontId="3" fillId="2" borderId="39" xfId="0" applyNumberFormat="1" applyFont="1" applyFill="1" applyBorder="1" applyAlignment="1">
      <alignment horizontal="center" wrapText="1" shrinkToFit="1"/>
    </xf>
    <xf numFmtId="165" fontId="1" fillId="9" borderId="31" xfId="0" applyNumberFormat="1" applyFont="1" applyFill="1" applyBorder="1" applyAlignment="1">
      <alignment horizontal="center" vertical="center" wrapText="1" shrinkToFit="1"/>
    </xf>
    <xf numFmtId="164" fontId="1" fillId="9" borderId="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 wrapText="1" shrinkToFit="1"/>
    </xf>
    <xf numFmtId="164" fontId="3" fillId="2" borderId="21" xfId="0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9" fillId="4" borderId="12" xfId="0" applyFont="1" applyFill="1" applyBorder="1" applyAlignment="1">
      <alignment horizontal="center" vertical="center" textRotation="90" wrapText="1"/>
    </xf>
    <xf numFmtId="0" fontId="9" fillId="4" borderId="13" xfId="0" applyFont="1" applyFill="1" applyBorder="1" applyAlignment="1">
      <alignment horizontal="center" vertical="center" textRotation="90" wrapText="1"/>
    </xf>
    <xf numFmtId="0" fontId="9" fillId="4" borderId="30" xfId="0" applyFont="1" applyFill="1" applyBorder="1" applyAlignment="1">
      <alignment horizontal="center" vertical="center" textRotation="90" wrapText="1"/>
    </xf>
    <xf numFmtId="0" fontId="8" fillId="4" borderId="39" xfId="0" applyFont="1" applyFill="1" applyBorder="1" applyAlignment="1">
      <alignment horizontal="center" vertical="center" textRotation="90" wrapText="1"/>
    </xf>
    <xf numFmtId="0" fontId="9" fillId="4" borderId="39" xfId="0" applyFont="1" applyFill="1" applyBorder="1" applyAlignment="1">
      <alignment horizontal="center" vertical="center" textRotation="90" wrapText="1"/>
    </xf>
    <xf numFmtId="0" fontId="8" fillId="4" borderId="13" xfId="0" applyFont="1" applyFill="1" applyBorder="1" applyAlignment="1">
      <alignment horizontal="center" vertical="center" textRotation="90" wrapText="1"/>
    </xf>
    <xf numFmtId="0" fontId="8" fillId="4" borderId="14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164" fontId="3" fillId="2" borderId="52" xfId="0" applyNumberFormat="1" applyFont="1" applyFill="1" applyBorder="1" applyAlignment="1">
      <alignment horizontal="center"/>
    </xf>
    <xf numFmtId="164" fontId="3" fillId="2" borderId="61" xfId="0" applyNumberFormat="1" applyFont="1" applyFill="1" applyBorder="1" applyAlignment="1">
      <alignment horizontal="center"/>
    </xf>
    <xf numFmtId="164" fontId="3" fillId="6" borderId="61" xfId="0" applyNumberFormat="1" applyFont="1" applyFill="1" applyBorder="1" applyAlignment="1">
      <alignment horizontal="center"/>
    </xf>
    <xf numFmtId="164" fontId="3" fillId="2" borderId="55" xfId="0" applyNumberFormat="1" applyFont="1" applyFill="1" applyBorder="1" applyAlignment="1">
      <alignment horizontal="center"/>
    </xf>
    <xf numFmtId="164" fontId="3" fillId="6" borderId="15" xfId="0" applyNumberFormat="1" applyFont="1" applyFill="1" applyBorder="1" applyAlignment="1">
      <alignment horizontal="center"/>
    </xf>
    <xf numFmtId="164" fontId="3" fillId="2" borderId="50" xfId="0" applyNumberFormat="1" applyFont="1" applyFill="1" applyBorder="1" applyAlignment="1">
      <alignment horizontal="center"/>
    </xf>
    <xf numFmtId="0" fontId="26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0" fontId="22" fillId="9" borderId="26" xfId="0" applyFont="1" applyFill="1" applyBorder="1" applyAlignment="1">
      <alignment horizontal="center" vertical="center" wrapText="1"/>
    </xf>
    <xf numFmtId="0" fontId="22" fillId="9" borderId="31" xfId="0" applyFont="1" applyFill="1" applyBorder="1" applyAlignment="1">
      <alignment horizontal="center" vertical="center" wrapText="1"/>
    </xf>
    <xf numFmtId="0" fontId="22" fillId="9" borderId="46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62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31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1" fillId="0" borderId="64" xfId="0" applyFont="1" applyBorder="1" applyAlignment="1">
      <alignment horizontal="center"/>
    </xf>
    <xf numFmtId="0" fontId="5" fillId="0" borderId="42" xfId="0" applyFont="1" applyBorder="1" applyAlignment="1">
      <alignment horizontal="center" wrapText="1"/>
    </xf>
    <xf numFmtId="3" fontId="5" fillId="0" borderId="4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3" fontId="5" fillId="0" borderId="50" xfId="0" applyNumberFormat="1" applyFont="1" applyFill="1" applyBorder="1" applyAlignment="1">
      <alignment horizontal="center"/>
    </xf>
    <xf numFmtId="0" fontId="5" fillId="0" borderId="63" xfId="0" applyFont="1" applyBorder="1" applyAlignment="1">
      <alignment horizontal="center" wrapText="1"/>
    </xf>
    <xf numFmtId="0" fontId="22" fillId="9" borderId="49" xfId="0" applyFont="1" applyFill="1" applyBorder="1" applyAlignment="1">
      <alignment horizontal="center" vertical="center" wrapText="1"/>
    </xf>
    <xf numFmtId="3" fontId="1" fillId="9" borderId="3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1" fillId="0" borderId="37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1" fillId="0" borderId="48" xfId="0" applyFont="1" applyBorder="1" applyAlignment="1">
      <alignment horizontal="center" wrapText="1"/>
    </xf>
    <xf numFmtId="0" fontId="21" fillId="0" borderId="59" xfId="0" applyFont="1" applyBorder="1" applyAlignment="1">
      <alignment horizontal="center" wrapText="1"/>
    </xf>
    <xf numFmtId="0" fontId="22" fillId="9" borderId="45" xfId="0" applyFont="1" applyFill="1" applyBorder="1" applyAlignment="1">
      <alignment horizontal="center" vertical="center" wrapText="1"/>
    </xf>
    <xf numFmtId="0" fontId="22" fillId="9" borderId="57" xfId="0" applyFont="1" applyFill="1" applyBorder="1" applyAlignment="1">
      <alignment horizontal="center" wrapText="1"/>
    </xf>
    <xf numFmtId="0" fontId="22" fillId="9" borderId="10" xfId="0" applyFont="1" applyFill="1" applyBorder="1" applyAlignment="1">
      <alignment horizontal="center" wrapText="1"/>
    </xf>
    <xf numFmtId="164" fontId="22" fillId="10" borderId="32" xfId="0" applyNumberFormat="1" applyFont="1" applyFill="1" applyBorder="1" applyAlignment="1">
      <alignment horizontal="center" wrapText="1"/>
    </xf>
    <xf numFmtId="164" fontId="1" fillId="9" borderId="31" xfId="0" applyNumberFormat="1" applyFont="1" applyFill="1" applyBorder="1" applyAlignment="1">
      <alignment horizontal="center" vertical="center"/>
    </xf>
    <xf numFmtId="1" fontId="1" fillId="9" borderId="3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wrapText="1"/>
    </xf>
    <xf numFmtId="164" fontId="1" fillId="9" borderId="10" xfId="0" applyNumberFormat="1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3" fontId="23" fillId="9" borderId="31" xfId="0" applyNumberFormat="1" applyFont="1" applyFill="1" applyBorder="1" applyAlignment="1">
      <alignment horizontal="center" vertical="center"/>
    </xf>
    <xf numFmtId="3" fontId="23" fillId="9" borderId="31" xfId="0" applyNumberFormat="1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164" fontId="21" fillId="6" borderId="38" xfId="0" applyNumberFormat="1" applyFont="1" applyFill="1" applyBorder="1" applyAlignment="1">
      <alignment horizontal="center" wrapText="1"/>
    </xf>
    <xf numFmtId="164" fontId="5" fillId="0" borderId="52" xfId="0" applyNumberFormat="1" applyFont="1" applyBorder="1" applyAlignment="1">
      <alignment horizontal="center" wrapText="1"/>
    </xf>
    <xf numFmtId="164" fontId="5" fillId="0" borderId="49" xfId="0" applyNumberFormat="1" applyFont="1" applyBorder="1" applyAlignment="1">
      <alignment horizontal="center" wrapText="1"/>
    </xf>
    <xf numFmtId="164" fontId="1" fillId="9" borderId="3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9" fontId="29" fillId="0" borderId="9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4" fillId="0" borderId="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4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0" fillId="5" borderId="4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top" wrapText="1"/>
    </xf>
    <xf numFmtId="0" fontId="24" fillId="5" borderId="4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24" fillId="0" borderId="9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49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Diabetic Population Q4 2016 = 315,218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0'!$A$60</c:f>
              <c:strCache>
                <c:ptCount val="1"/>
                <c:pt idx="0">
                  <c:v>Total Diabetic Population Q4 2016 = 315,218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8.2459810025247049E-2"/>
                  <c:y val="-0.13233309531651555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3039554266243444E-3"/>
                  <c:y val="2.9487256715861412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Statistics KPI 0'!$B$59:$E$59</c:f>
              <c:strCache>
                <c:ptCount val="4"/>
                <c:pt idx="0">
                  <c:v>Eligible Pop = 271,013</c:v>
                </c:pt>
                <c:pt idx="1">
                  <c:v>Temp Suspended = 25,304</c:v>
                </c:pt>
                <c:pt idx="2">
                  <c:v>Permanently Suspended = 24,049</c:v>
                </c:pt>
                <c:pt idx="3">
                  <c:v>Temporarily Unavailable = 5,148</c:v>
                </c:pt>
              </c:strCache>
            </c:strRef>
          </c:cat>
          <c:val>
            <c:numRef>
              <c:f>'Summary Statistics KPI 0'!$B$60:$E$60</c:f>
              <c:numCache>
                <c:formatCode>#,##0</c:formatCode>
                <c:ptCount val="4"/>
                <c:pt idx="0">
                  <c:v>271013</c:v>
                </c:pt>
                <c:pt idx="1">
                  <c:v>25304</c:v>
                </c:pt>
                <c:pt idx="2">
                  <c:v>24049</c:v>
                </c:pt>
                <c:pt idx="3">
                  <c:v>5148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57096026154625357"/>
          <c:y val="0.15655752047387519"/>
          <c:w val="0.41500465073444892"/>
          <c:h val="0.4395748892044257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Eligible Population Q4</a:t>
            </a:r>
            <a:r>
              <a:rPr lang="en-US" baseline="0"/>
              <a:t> </a:t>
            </a:r>
            <a:r>
              <a:rPr lang="en-US"/>
              <a:t>2016 = 271,013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0'!$A$63</c:f>
              <c:strCache>
                <c:ptCount val="1"/>
                <c:pt idx="0">
                  <c:v>Eligible Population Q4 2016= 271,013</c:v>
                </c:pt>
              </c:strCache>
            </c:strRef>
          </c:tx>
          <c:explosion val="24"/>
          <c:dPt>
            <c:idx val="0"/>
            <c:bubble3D val="0"/>
            <c:spPr>
              <a:solidFill>
                <a:srgbClr val="00B050"/>
              </a:solidFill>
            </c:spPr>
          </c:dPt>
          <c:cat>
            <c:strRef>
              <c:f>'Summary Statistics KPI 0'!$B$62:$D$62</c:f>
              <c:strCache>
                <c:ptCount val="2"/>
                <c:pt idx="0">
                  <c:v>Attended = 186,916 (69.0%)</c:v>
                </c:pt>
                <c:pt idx="1">
                  <c:v>Not yet attended = 84,097 (31.0%) </c:v>
                </c:pt>
              </c:strCache>
            </c:strRef>
          </c:cat>
          <c:val>
            <c:numRef>
              <c:f>'Summary Statistics KPI 0'!$B$63:$D$63</c:f>
              <c:numCache>
                <c:formatCode>#,##0</c:formatCode>
                <c:ptCount val="3"/>
                <c:pt idx="0">
                  <c:v>186916</c:v>
                </c:pt>
                <c:pt idx="1">
                  <c:v>84097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8908895424216456"/>
          <c:y val="0.20114395536623494"/>
          <c:w val="0.39714168259088184"/>
          <c:h val="0.198713193637681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25</xdr:row>
      <xdr:rowOff>9525</xdr:rowOff>
    </xdr:from>
    <xdr:to>
      <xdr:col>5</xdr:col>
      <xdr:colOff>714375</xdr:colOff>
      <xdr:row>47</xdr:row>
      <xdr:rowOff>95250</xdr:rowOff>
    </xdr:to>
    <xdr:graphicFrame macro="">
      <xdr:nvGraphicFramePr>
        <xdr:cNvPr id="23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904704</xdr:colOff>
      <xdr:row>25</xdr:row>
      <xdr:rowOff>0</xdr:rowOff>
    </xdr:from>
    <xdr:to>
      <xdr:col>13</xdr:col>
      <xdr:colOff>85554</xdr:colOff>
      <xdr:row>47</xdr:row>
      <xdr:rowOff>85725</xdr:rowOff>
    </xdr:to>
    <xdr:graphicFrame macro="">
      <xdr:nvGraphicFramePr>
        <xdr:cNvPr id="230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603403</xdr:colOff>
      <xdr:row>34</xdr:row>
      <xdr:rowOff>119729</xdr:rowOff>
    </xdr:from>
    <xdr:to>
      <xdr:col>7</xdr:col>
      <xdr:colOff>651028</xdr:colOff>
      <xdr:row>37</xdr:row>
      <xdr:rowOff>77763</xdr:rowOff>
    </xdr:to>
    <xdr:sp macro="" textlink="">
      <xdr:nvSpPr>
        <xdr:cNvPr id="7" name="TextBox 1"/>
        <xdr:cNvSpPr txBox="1"/>
      </xdr:nvSpPr>
      <xdr:spPr>
        <a:xfrm>
          <a:off x="6882283" y="8021669"/>
          <a:ext cx="977265" cy="46095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800"/>
            <a:t>31.0%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0.40237</cdr:x>
      <cdr:y>0.58949</cdr:y>
    </cdr:from>
    <cdr:to>
      <cdr:x>0.57141</cdr:x>
      <cdr:y>0.72798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76552" y="2125806"/>
          <a:ext cx="956403" cy="499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800"/>
            <a:t>69.0%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workbookViewId="0">
      <selection activeCell="I60" sqref="I60"/>
    </sheetView>
  </sheetViews>
  <sheetFormatPr defaultRowHeight="12.5" x14ac:dyDescent="0.25"/>
  <cols>
    <col min="1" max="1" width="23.7265625" customWidth="1"/>
    <col min="2" max="4" width="13.54296875" style="37" customWidth="1"/>
    <col min="5" max="5" width="13.54296875" style="36" customWidth="1"/>
    <col min="6" max="8" width="13.54296875" style="37" customWidth="1"/>
    <col min="9" max="9" width="13.54296875" style="36" customWidth="1"/>
    <col min="10" max="10" width="13.54296875" style="37" customWidth="1"/>
  </cols>
  <sheetData>
    <row r="1" spans="1:10" s="86" customFormat="1" ht="14" x14ac:dyDescent="0.3">
      <c r="A1" s="86" t="s">
        <v>124</v>
      </c>
      <c r="B1" s="87"/>
      <c r="C1" s="87"/>
      <c r="D1" s="87"/>
      <c r="E1" s="88"/>
      <c r="F1" s="87"/>
      <c r="G1" s="87"/>
      <c r="H1" s="87"/>
      <c r="I1" s="88"/>
      <c r="J1" s="87"/>
    </row>
    <row r="2" spans="1:10" ht="30" customHeight="1" x14ac:dyDescent="0.3">
      <c r="A2" s="90" t="s">
        <v>133</v>
      </c>
      <c r="B2" s="89"/>
      <c r="C2" s="89"/>
      <c r="D2" s="89"/>
      <c r="E2" s="57"/>
      <c r="F2" s="57"/>
      <c r="G2" s="57"/>
      <c r="H2" s="57"/>
      <c r="I2" s="57"/>
      <c r="J2" s="57"/>
    </row>
    <row r="3" spans="1:10" ht="30" customHeight="1" thickBot="1" x14ac:dyDescent="0.35">
      <c r="A3" s="89"/>
      <c r="B3" s="89"/>
      <c r="C3" s="89"/>
      <c r="D3" s="89"/>
      <c r="E3" s="57"/>
      <c r="F3" s="57"/>
      <c r="G3" s="57"/>
      <c r="H3" s="57"/>
      <c r="I3" s="57"/>
      <c r="J3" s="57"/>
    </row>
    <row r="4" spans="1:10" ht="29.25" customHeight="1" x14ac:dyDescent="0.3">
      <c r="A4" s="37"/>
      <c r="C4" s="271" t="s">
        <v>94</v>
      </c>
      <c r="D4" s="272"/>
      <c r="E4" s="272"/>
      <c r="F4" s="272"/>
      <c r="G4" s="273"/>
      <c r="H4" s="57"/>
      <c r="I4" s="57"/>
      <c r="J4" s="57"/>
    </row>
    <row r="5" spans="1:10" ht="54.75" customHeight="1" x14ac:dyDescent="0.3">
      <c r="A5" s="37"/>
      <c r="C5" s="50" t="s">
        <v>1</v>
      </c>
      <c r="D5" s="51" t="s">
        <v>14</v>
      </c>
      <c r="E5" s="51" t="s">
        <v>19</v>
      </c>
      <c r="F5" s="51" t="s">
        <v>15</v>
      </c>
      <c r="G5" s="79" t="s">
        <v>16</v>
      </c>
      <c r="H5" s="57"/>
      <c r="I5" s="57"/>
      <c r="J5" s="57"/>
    </row>
    <row r="6" spans="1:10" ht="29.25" customHeight="1" thickBot="1" x14ac:dyDescent="0.35">
      <c r="A6" s="62"/>
      <c r="B6" s="63"/>
      <c r="C6" s="60">
        <v>315218</v>
      </c>
      <c r="D6" s="61">
        <v>25304</v>
      </c>
      <c r="E6" s="61">
        <v>24049</v>
      </c>
      <c r="F6" s="61">
        <v>5148</v>
      </c>
      <c r="G6" s="80">
        <v>271013</v>
      </c>
      <c r="H6" s="57"/>
      <c r="I6" s="57"/>
      <c r="J6" s="57"/>
    </row>
    <row r="7" spans="1:10" ht="29.25" hidden="1" customHeight="1" x14ac:dyDescent="0.3">
      <c r="A7" s="64"/>
      <c r="B7" s="63"/>
      <c r="C7" s="52">
        <v>252534</v>
      </c>
      <c r="D7" s="53">
        <v>24796</v>
      </c>
      <c r="E7" s="53">
        <v>13385</v>
      </c>
      <c r="F7" s="53">
        <v>4229</v>
      </c>
      <c r="G7" s="54">
        <v>218582</v>
      </c>
      <c r="H7" s="57"/>
      <c r="I7" s="57"/>
      <c r="J7" s="57"/>
    </row>
    <row r="8" spans="1:10" ht="30.75" customHeight="1" thickBot="1" x14ac:dyDescent="0.3">
      <c r="B8" s="48"/>
      <c r="C8" s="48"/>
      <c r="D8" s="48"/>
      <c r="E8" s="49"/>
      <c r="F8" s="48"/>
      <c r="G8" s="48"/>
      <c r="H8" s="48"/>
      <c r="I8" s="49"/>
      <c r="J8" s="48"/>
    </row>
    <row r="9" spans="1:10" ht="87" customHeight="1" thickBot="1" x14ac:dyDescent="0.3">
      <c r="A9" s="55" t="s">
        <v>18</v>
      </c>
      <c r="B9" s="74" t="s">
        <v>1</v>
      </c>
      <c r="C9" s="74" t="s">
        <v>14</v>
      </c>
      <c r="D9" s="75" t="s">
        <v>52</v>
      </c>
      <c r="E9" s="76" t="s">
        <v>19</v>
      </c>
      <c r="F9" s="75" t="s">
        <v>53</v>
      </c>
      <c r="G9" s="74" t="s">
        <v>15</v>
      </c>
      <c r="H9" s="75" t="s">
        <v>54</v>
      </c>
      <c r="I9" s="77" t="s">
        <v>16</v>
      </c>
      <c r="J9" s="78" t="s">
        <v>55</v>
      </c>
    </row>
    <row r="10" spans="1:10" ht="13" x14ac:dyDescent="0.3">
      <c r="A10" s="73" t="s">
        <v>20</v>
      </c>
      <c r="B10" s="263">
        <v>25403</v>
      </c>
      <c r="C10" s="258">
        <v>1352</v>
      </c>
      <c r="D10" s="137">
        <f>C10/B10</f>
        <v>5.3222060386568515E-2</v>
      </c>
      <c r="E10" s="258">
        <v>2177</v>
      </c>
      <c r="F10" s="137">
        <f t="shared" ref="F10:F24" si="0">E10/B10</f>
        <v>8.5698539542573712E-2</v>
      </c>
      <c r="G10" s="258">
        <v>19</v>
      </c>
      <c r="H10" s="137">
        <f t="shared" ref="H10:H24" si="1">G10/B10</f>
        <v>7.4794315632011965E-4</v>
      </c>
      <c r="I10" s="258">
        <v>21893</v>
      </c>
      <c r="J10" s="138">
        <f t="shared" ref="J10:J24" si="2">I10/B10</f>
        <v>0.86182734322717791</v>
      </c>
    </row>
    <row r="11" spans="1:10" ht="13" x14ac:dyDescent="0.3">
      <c r="A11" s="69" t="s">
        <v>2</v>
      </c>
      <c r="B11" s="264">
        <v>8264</v>
      </c>
      <c r="C11" s="259">
        <v>793</v>
      </c>
      <c r="D11" s="139">
        <f t="shared" ref="D11:D24" si="3">C11/B11</f>
        <v>9.5958373668925456E-2</v>
      </c>
      <c r="E11" s="259">
        <v>1446</v>
      </c>
      <c r="F11" s="139">
        <f t="shared" si="0"/>
        <v>0.1749757986447241</v>
      </c>
      <c r="G11" s="259">
        <v>62</v>
      </c>
      <c r="H11" s="139">
        <f t="shared" si="1"/>
        <v>7.5024201355275892E-3</v>
      </c>
      <c r="I11" s="259">
        <v>6087</v>
      </c>
      <c r="J11" s="140">
        <f t="shared" si="2"/>
        <v>0.73656824782187802</v>
      </c>
    </row>
    <row r="12" spans="1:10" ht="14.25" customHeight="1" x14ac:dyDescent="0.3">
      <c r="A12" s="70" t="s">
        <v>3</v>
      </c>
      <c r="B12" s="264">
        <v>10280</v>
      </c>
      <c r="C12" s="259">
        <v>1027</v>
      </c>
      <c r="D12" s="139">
        <f t="shared" si="3"/>
        <v>9.9902723735408566E-2</v>
      </c>
      <c r="E12" s="259">
        <v>950</v>
      </c>
      <c r="F12" s="139">
        <f t="shared" si="0"/>
        <v>9.2412451361867709E-2</v>
      </c>
      <c r="G12" s="259">
        <v>216</v>
      </c>
      <c r="H12" s="139">
        <f t="shared" si="1"/>
        <v>2.1011673151750974E-2</v>
      </c>
      <c r="I12" s="259">
        <v>8519</v>
      </c>
      <c r="J12" s="140">
        <f t="shared" si="2"/>
        <v>0.82869649805447476</v>
      </c>
    </row>
    <row r="13" spans="1:10" ht="13" x14ac:dyDescent="0.3">
      <c r="A13" s="69" t="s">
        <v>4</v>
      </c>
      <c r="B13" s="264">
        <v>22252</v>
      </c>
      <c r="C13" s="259">
        <v>1971</v>
      </c>
      <c r="D13" s="139">
        <f t="shared" si="3"/>
        <v>8.8576307747618196E-2</v>
      </c>
      <c r="E13" s="259">
        <v>1157</v>
      </c>
      <c r="F13" s="139">
        <f t="shared" si="0"/>
        <v>5.1995326262807839E-2</v>
      </c>
      <c r="G13" s="259">
        <v>146</v>
      </c>
      <c r="H13" s="139">
        <f t="shared" si="1"/>
        <v>6.5612079813050514E-3</v>
      </c>
      <c r="I13" s="259">
        <v>19270</v>
      </c>
      <c r="J13" s="140">
        <f t="shared" si="2"/>
        <v>0.86598957397087906</v>
      </c>
    </row>
    <row r="14" spans="1:10" ht="13" x14ac:dyDescent="0.3">
      <c r="A14" s="69" t="s">
        <v>5</v>
      </c>
      <c r="B14" s="264">
        <v>17459</v>
      </c>
      <c r="C14" s="259">
        <v>1034</v>
      </c>
      <c r="D14" s="139">
        <f t="shared" si="3"/>
        <v>5.922446875536972E-2</v>
      </c>
      <c r="E14" s="259">
        <v>665</v>
      </c>
      <c r="F14" s="139">
        <f t="shared" si="0"/>
        <v>3.808923764247666E-2</v>
      </c>
      <c r="G14" s="259">
        <v>353</v>
      </c>
      <c r="H14" s="139">
        <f t="shared" si="1"/>
        <v>2.0218798327510168E-2</v>
      </c>
      <c r="I14" s="259">
        <v>16113</v>
      </c>
      <c r="J14" s="140">
        <f t="shared" si="2"/>
        <v>0.92290509192966375</v>
      </c>
    </row>
    <row r="15" spans="1:10" s="9" customFormat="1" ht="13" x14ac:dyDescent="0.3">
      <c r="A15" s="71" t="s">
        <v>6</v>
      </c>
      <c r="B15" s="264">
        <v>31383</v>
      </c>
      <c r="C15" s="259">
        <v>1613</v>
      </c>
      <c r="D15" s="141">
        <f t="shared" si="3"/>
        <v>5.1397253289997773E-2</v>
      </c>
      <c r="E15" s="259">
        <v>3019</v>
      </c>
      <c r="F15" s="141">
        <f t="shared" si="0"/>
        <v>9.6198578848421118E-2</v>
      </c>
      <c r="G15" s="259">
        <v>319</v>
      </c>
      <c r="H15" s="141">
        <f t="shared" si="1"/>
        <v>1.0164738871363477E-2</v>
      </c>
      <c r="I15" s="259">
        <v>27070</v>
      </c>
      <c r="J15" s="142">
        <f t="shared" si="2"/>
        <v>0.86256890673294462</v>
      </c>
    </row>
    <row r="16" spans="1:10" ht="13" x14ac:dyDescent="0.3">
      <c r="A16" s="69" t="s">
        <v>7</v>
      </c>
      <c r="B16" s="264">
        <v>66755</v>
      </c>
      <c r="C16" s="259">
        <v>6666</v>
      </c>
      <c r="D16" s="141">
        <f t="shared" si="3"/>
        <v>9.9857688562654479E-2</v>
      </c>
      <c r="E16" s="259">
        <v>3505</v>
      </c>
      <c r="F16" s="139">
        <f t="shared" si="0"/>
        <v>5.2505430304846078E-2</v>
      </c>
      <c r="G16" s="259">
        <v>1513</v>
      </c>
      <c r="H16" s="139">
        <f t="shared" si="1"/>
        <v>2.2664968916186055E-2</v>
      </c>
      <c r="I16" s="259">
        <v>58097</v>
      </c>
      <c r="J16" s="140">
        <f t="shared" si="2"/>
        <v>0.87030185004868554</v>
      </c>
    </row>
    <row r="17" spans="1:10" ht="13" x14ac:dyDescent="0.3">
      <c r="A17" s="69" t="s">
        <v>8</v>
      </c>
      <c r="B17" s="264">
        <v>18536</v>
      </c>
      <c r="C17" s="259">
        <v>1466</v>
      </c>
      <c r="D17" s="139">
        <f t="shared" si="3"/>
        <v>7.9089339663357794E-2</v>
      </c>
      <c r="E17" s="259">
        <v>1374</v>
      </c>
      <c r="F17" s="139">
        <f t="shared" si="0"/>
        <v>7.4126025032369439E-2</v>
      </c>
      <c r="G17" s="259">
        <v>294</v>
      </c>
      <c r="H17" s="139">
        <f t="shared" si="1"/>
        <v>1.5861027190332326E-2</v>
      </c>
      <c r="I17" s="259">
        <v>15990</v>
      </c>
      <c r="J17" s="140">
        <f t="shared" si="2"/>
        <v>0.86264566249460506</v>
      </c>
    </row>
    <row r="18" spans="1:10" ht="13" x14ac:dyDescent="0.3">
      <c r="A18" s="69" t="s">
        <v>9</v>
      </c>
      <c r="B18" s="264">
        <v>40217</v>
      </c>
      <c r="C18" s="259">
        <v>4120</v>
      </c>
      <c r="D18" s="139">
        <f t="shared" si="3"/>
        <v>0.10244423999801079</v>
      </c>
      <c r="E18" s="259">
        <v>2371</v>
      </c>
      <c r="F18" s="139">
        <f t="shared" si="0"/>
        <v>5.8955168212447472E-2</v>
      </c>
      <c r="G18" s="259">
        <v>1551</v>
      </c>
      <c r="H18" s="139">
        <f t="shared" si="1"/>
        <v>3.8565780640027851E-2</v>
      </c>
      <c r="I18" s="259">
        <v>35277</v>
      </c>
      <c r="J18" s="140">
        <f t="shared" si="2"/>
        <v>0.87716637242956963</v>
      </c>
    </row>
    <row r="19" spans="1:10" ht="13" x14ac:dyDescent="0.3">
      <c r="A19" s="69" t="s">
        <v>10</v>
      </c>
      <c r="B19" s="264">
        <v>45693</v>
      </c>
      <c r="C19" s="259">
        <v>2888</v>
      </c>
      <c r="D19" s="139">
        <f t="shared" si="3"/>
        <v>6.3204429562515041E-2</v>
      </c>
      <c r="E19" s="259">
        <v>5241</v>
      </c>
      <c r="F19" s="139">
        <f t="shared" si="0"/>
        <v>0.11470028231895477</v>
      </c>
      <c r="G19" s="259">
        <v>249</v>
      </c>
      <c r="H19" s="139">
        <f t="shared" si="1"/>
        <v>5.4494123826406672E-3</v>
      </c>
      <c r="I19" s="259">
        <v>37813</v>
      </c>
      <c r="J19" s="140">
        <f t="shared" si="2"/>
        <v>0.8275447005011709</v>
      </c>
    </row>
    <row r="20" spans="1:10" ht="13" x14ac:dyDescent="0.3">
      <c r="A20" s="69" t="s">
        <v>11</v>
      </c>
      <c r="B20" s="264">
        <v>1255</v>
      </c>
      <c r="C20" s="259">
        <v>91</v>
      </c>
      <c r="D20" s="139">
        <f t="shared" si="3"/>
        <v>7.2509960159362549E-2</v>
      </c>
      <c r="E20" s="259">
        <v>93</v>
      </c>
      <c r="F20" s="139">
        <f t="shared" si="0"/>
        <v>7.4103585657370519E-2</v>
      </c>
      <c r="G20" s="259">
        <v>10</v>
      </c>
      <c r="H20" s="139">
        <f t="shared" si="1"/>
        <v>7.9681274900398405E-3</v>
      </c>
      <c r="I20" s="259">
        <v>1081</v>
      </c>
      <c r="J20" s="140">
        <f t="shared" si="2"/>
        <v>0.86135458167330681</v>
      </c>
    </row>
    <row r="21" spans="1:10" ht="13" x14ac:dyDescent="0.3">
      <c r="A21" s="69" t="s">
        <v>12</v>
      </c>
      <c r="B21" s="264">
        <v>1221</v>
      </c>
      <c r="C21" s="259">
        <v>113</v>
      </c>
      <c r="D21" s="139">
        <f t="shared" si="3"/>
        <v>9.2547092547092549E-2</v>
      </c>
      <c r="E21" s="259">
        <v>88</v>
      </c>
      <c r="F21" s="139">
        <f t="shared" si="0"/>
        <v>7.2072072072072071E-2</v>
      </c>
      <c r="G21" s="259">
        <v>34</v>
      </c>
      <c r="H21" s="139">
        <f t="shared" si="1"/>
        <v>2.7846027846027847E-2</v>
      </c>
      <c r="I21" s="259">
        <v>1054</v>
      </c>
      <c r="J21" s="140">
        <f t="shared" si="2"/>
        <v>0.86322686322686326</v>
      </c>
    </row>
    <row r="22" spans="1:10" ht="13" x14ac:dyDescent="0.3">
      <c r="A22" s="69" t="s">
        <v>13</v>
      </c>
      <c r="B22" s="264">
        <v>24975</v>
      </c>
      <c r="C22" s="259">
        <v>1992</v>
      </c>
      <c r="D22" s="139">
        <f t="shared" si="3"/>
        <v>7.9759759759759755E-2</v>
      </c>
      <c r="E22" s="259">
        <v>1858</v>
      </c>
      <c r="F22" s="139">
        <f t="shared" si="0"/>
        <v>7.4394394394394395E-2</v>
      </c>
      <c r="G22" s="259">
        <v>354</v>
      </c>
      <c r="H22" s="139">
        <f t="shared" si="1"/>
        <v>1.4174174174174175E-2</v>
      </c>
      <c r="I22" s="259">
        <v>21479</v>
      </c>
      <c r="J22" s="140">
        <f t="shared" si="2"/>
        <v>0.86002002002001998</v>
      </c>
    </row>
    <row r="23" spans="1:10" ht="13.5" thickBot="1" x14ac:dyDescent="0.35">
      <c r="A23" s="72" t="s">
        <v>21</v>
      </c>
      <c r="B23" s="265">
        <v>1525</v>
      </c>
      <c r="C23" s="260">
        <v>178</v>
      </c>
      <c r="D23" s="143">
        <f t="shared" si="3"/>
        <v>0.11672131147540983</v>
      </c>
      <c r="E23" s="260">
        <v>105</v>
      </c>
      <c r="F23" s="143">
        <f t="shared" si="0"/>
        <v>6.8852459016393447E-2</v>
      </c>
      <c r="G23" s="260">
        <v>28</v>
      </c>
      <c r="H23" s="143">
        <f t="shared" si="1"/>
        <v>1.8360655737704918E-2</v>
      </c>
      <c r="I23" s="260">
        <v>1270</v>
      </c>
      <c r="J23" s="144">
        <f t="shared" si="2"/>
        <v>0.83278688524590161</v>
      </c>
    </row>
    <row r="24" spans="1:10" s="84" customFormat="1" ht="13.5" thickBot="1" x14ac:dyDescent="0.35">
      <c r="A24" s="82" t="s">
        <v>60</v>
      </c>
      <c r="B24" s="261">
        <f>(C6)</f>
        <v>315218</v>
      </c>
      <c r="C24" s="262">
        <f>(D6)</f>
        <v>25304</v>
      </c>
      <c r="D24" s="145">
        <f t="shared" si="3"/>
        <v>8.0274603607662004E-2</v>
      </c>
      <c r="E24" s="262">
        <f>(E6)</f>
        <v>24049</v>
      </c>
      <c r="F24" s="145">
        <f t="shared" si="0"/>
        <v>7.6293231985483059E-2</v>
      </c>
      <c r="G24" s="262">
        <f>(F6)</f>
        <v>5148</v>
      </c>
      <c r="H24" s="145">
        <f t="shared" si="1"/>
        <v>1.6331554670101327E-2</v>
      </c>
      <c r="I24" s="262">
        <f>(G6)</f>
        <v>271013</v>
      </c>
      <c r="J24" s="146">
        <f t="shared" si="2"/>
        <v>0.85976371907695626</v>
      </c>
    </row>
    <row r="25" spans="1:10" x14ac:dyDescent="0.25">
      <c r="D25" s="56"/>
      <c r="E25" s="56"/>
      <c r="F25" s="56"/>
      <c r="G25" s="56"/>
      <c r="H25" s="56"/>
      <c r="I25" s="81"/>
    </row>
    <row r="29" spans="1:10" ht="12.75" hidden="1" customHeight="1" x14ac:dyDescent="0.25"/>
    <row r="30" spans="1:10" x14ac:dyDescent="0.25">
      <c r="G30" s="99"/>
    </row>
    <row r="31" spans="1:10" x14ac:dyDescent="0.25">
      <c r="G31" s="99"/>
    </row>
    <row r="35" spans="10:10" x14ac:dyDescent="0.25">
      <c r="J35" s="36"/>
    </row>
    <row r="59" spans="1:6" x14ac:dyDescent="0.25">
      <c r="A59" s="99"/>
      <c r="B59" s="99" t="s">
        <v>126</v>
      </c>
      <c r="C59" s="99" t="s">
        <v>127</v>
      </c>
      <c r="D59" s="99" t="s">
        <v>128</v>
      </c>
      <c r="E59" s="99" t="s">
        <v>129</v>
      </c>
      <c r="F59" s="99"/>
    </row>
    <row r="60" spans="1:6" ht="21" x14ac:dyDescent="0.25">
      <c r="A60" s="100" t="s">
        <v>125</v>
      </c>
      <c r="B60" s="101">
        <f>(I24)</f>
        <v>271013</v>
      </c>
      <c r="C60" s="101">
        <f>(C24)</f>
        <v>25304</v>
      </c>
      <c r="D60" s="101">
        <f>(E24)</f>
        <v>24049</v>
      </c>
      <c r="E60" s="101">
        <f>(G24)</f>
        <v>5148</v>
      </c>
      <c r="F60" s="99"/>
    </row>
    <row r="61" spans="1:6" x14ac:dyDescent="0.25">
      <c r="A61" s="103"/>
      <c r="B61" s="104"/>
      <c r="C61" s="104"/>
      <c r="D61" s="104"/>
      <c r="E61" s="105"/>
      <c r="F61" s="104"/>
    </row>
    <row r="62" spans="1:6" x14ac:dyDescent="0.25">
      <c r="A62" s="99"/>
      <c r="B62" s="99" t="s">
        <v>131</v>
      </c>
      <c r="C62" s="99" t="s">
        <v>132</v>
      </c>
      <c r="D62" s="99"/>
      <c r="E62" s="105"/>
      <c r="F62" s="104"/>
    </row>
    <row r="63" spans="1:6" x14ac:dyDescent="0.25">
      <c r="A63" s="99" t="s">
        <v>130</v>
      </c>
      <c r="B63" s="102">
        <f>'Screening uptake KPIs 1-7'!L19</f>
        <v>186916</v>
      </c>
      <c r="C63" s="102">
        <f>(I24-'Screening uptake KPIs 1-7'!L19)</f>
        <v>84097</v>
      </c>
      <c r="D63" s="99"/>
      <c r="E63" s="105"/>
      <c r="F63" s="104"/>
    </row>
  </sheetData>
  <mergeCells count="1">
    <mergeCell ref="C4:G4"/>
  </mergeCells>
  <phoneticPr fontId="2" type="noConversion"/>
  <printOptions horizontalCentered="1"/>
  <pageMargins left="0.55118110236220474" right="0.39370078740157483" top="0.39370078740157483" bottom="0.82677165354330717" header="0" footer="0.47244094488188981"/>
  <pageSetup paperSize="9" scale="63" orientation="landscape" r:id="rId1"/>
  <headerFooter alignWithMargins="0">
    <oddHeader xml:space="preserve">&amp;C
</oddHeader>
    <oddFooter>&amp;R&amp;A</oddFooter>
  </headerFooter>
  <ignoredErrors>
    <ignoredError sqref="D24 F24 H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29"/>
  <sheetViews>
    <sheetView zoomScale="80" workbookViewId="0">
      <selection activeCell="AD24" sqref="AD24"/>
    </sheetView>
  </sheetViews>
  <sheetFormatPr defaultRowHeight="12.5" x14ac:dyDescent="0.25"/>
  <cols>
    <col min="1" max="1" width="20.54296875" customWidth="1"/>
    <col min="2" max="6" width="8" customWidth="1"/>
    <col min="7" max="8" width="22.26953125" customWidth="1"/>
    <col min="9" max="10" width="9.54296875" customWidth="1"/>
    <col min="11" max="11" width="9.54296875" style="2" customWidth="1"/>
    <col min="12" max="12" width="12.7265625" customWidth="1"/>
    <col min="13" max="14" width="12.7265625" style="2" customWidth="1"/>
    <col min="15" max="22" width="9.54296875" style="2" customWidth="1"/>
    <col min="23" max="45" width="9.26953125" style="9"/>
  </cols>
  <sheetData>
    <row r="1" spans="1:90" s="37" customFormat="1" ht="51" customHeight="1" thickBot="1" x14ac:dyDescent="0.3">
      <c r="B1" s="284" t="s">
        <v>0</v>
      </c>
      <c r="C1" s="285"/>
      <c r="D1" s="285"/>
      <c r="E1" s="285"/>
      <c r="F1" s="286"/>
      <c r="G1" s="290" t="s">
        <v>104</v>
      </c>
      <c r="H1" s="291"/>
      <c r="I1" s="276" t="s">
        <v>119</v>
      </c>
      <c r="J1" s="277"/>
      <c r="K1" s="278"/>
      <c r="L1" s="276" t="s">
        <v>117</v>
      </c>
      <c r="M1" s="278"/>
      <c r="N1" s="122" t="s">
        <v>97</v>
      </c>
      <c r="O1" s="276" t="s">
        <v>121</v>
      </c>
      <c r="P1" s="278"/>
      <c r="Q1" s="274" t="s">
        <v>118</v>
      </c>
      <c r="R1" s="275"/>
      <c r="S1" s="274" t="s">
        <v>122</v>
      </c>
      <c r="T1" s="275"/>
      <c r="U1" s="296" t="s">
        <v>48</v>
      </c>
      <c r="V1" s="275"/>
      <c r="W1" s="274" t="s">
        <v>120</v>
      </c>
      <c r="X1" s="297"/>
      <c r="Y1" s="275"/>
      <c r="Z1" s="292" t="s">
        <v>43</v>
      </c>
      <c r="AA1" s="277"/>
      <c r="AB1" s="278"/>
      <c r="AC1" s="292" t="s">
        <v>36</v>
      </c>
      <c r="AD1" s="277"/>
      <c r="AE1" s="278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90" s="37" customFormat="1" ht="68.900000000000006" customHeight="1" thickBot="1" x14ac:dyDescent="0.3">
      <c r="A2" s="250" t="s">
        <v>103</v>
      </c>
      <c r="B2" s="284"/>
      <c r="C2" s="285"/>
      <c r="D2" s="285"/>
      <c r="E2" s="285"/>
      <c r="F2" s="286"/>
      <c r="G2" s="270" t="s">
        <v>115</v>
      </c>
      <c r="H2" s="270" t="s">
        <v>114</v>
      </c>
      <c r="I2" s="287" t="s">
        <v>136</v>
      </c>
      <c r="J2" s="288"/>
      <c r="K2" s="289"/>
      <c r="L2" s="287" t="s">
        <v>134</v>
      </c>
      <c r="M2" s="289"/>
      <c r="N2" s="270" t="s">
        <v>98</v>
      </c>
      <c r="O2" s="287" t="s">
        <v>108</v>
      </c>
      <c r="P2" s="289"/>
      <c r="Q2" s="287" t="s">
        <v>135</v>
      </c>
      <c r="R2" s="289"/>
      <c r="S2" s="287" t="s">
        <v>108</v>
      </c>
      <c r="T2" s="289"/>
      <c r="U2" s="300" t="s">
        <v>95</v>
      </c>
      <c r="V2" s="301"/>
      <c r="W2" s="287" t="s">
        <v>123</v>
      </c>
      <c r="X2" s="302"/>
      <c r="Y2" s="303"/>
      <c r="Z2" s="287" t="s">
        <v>113</v>
      </c>
      <c r="AA2" s="302"/>
      <c r="AB2" s="303"/>
      <c r="AC2" s="304" t="s">
        <v>95</v>
      </c>
      <c r="AD2" s="305"/>
      <c r="AE2" s="30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90" ht="98.25" customHeight="1" thickBot="1" x14ac:dyDescent="0.3">
      <c r="A3" s="256" t="s">
        <v>107</v>
      </c>
      <c r="B3" s="25"/>
      <c r="C3" s="26"/>
      <c r="D3" s="26"/>
      <c r="E3" s="279"/>
      <c r="F3" s="280"/>
      <c r="G3" s="251"/>
      <c r="H3" s="251"/>
      <c r="I3" s="281" t="s">
        <v>137</v>
      </c>
      <c r="J3" s="282"/>
      <c r="K3" s="283"/>
      <c r="L3" s="281" t="s">
        <v>138</v>
      </c>
      <c r="M3" s="283"/>
      <c r="N3" s="253" t="s">
        <v>98</v>
      </c>
      <c r="O3" s="281" t="s">
        <v>112</v>
      </c>
      <c r="P3" s="283"/>
      <c r="Q3" s="281" t="s">
        <v>112</v>
      </c>
      <c r="R3" s="283"/>
      <c r="S3" s="281" t="s">
        <v>112</v>
      </c>
      <c r="T3" s="283"/>
      <c r="U3" s="298" t="s">
        <v>95</v>
      </c>
      <c r="V3" s="299"/>
      <c r="W3" s="293" t="s">
        <v>95</v>
      </c>
      <c r="X3" s="294"/>
      <c r="Y3" s="295"/>
      <c r="Z3" s="293" t="s">
        <v>95</v>
      </c>
      <c r="AA3" s="294"/>
      <c r="AB3" s="294"/>
      <c r="AC3" s="293" t="s">
        <v>95</v>
      </c>
      <c r="AD3" s="294"/>
      <c r="AE3" s="295"/>
    </row>
    <row r="4" spans="1:90" s="42" customFormat="1" ht="121.75" customHeight="1" thickBot="1" x14ac:dyDescent="0.3">
      <c r="A4" s="47" t="s">
        <v>18</v>
      </c>
      <c r="B4" s="38" t="s">
        <v>1</v>
      </c>
      <c r="C4" s="39" t="s">
        <v>14</v>
      </c>
      <c r="D4" s="39" t="s">
        <v>19</v>
      </c>
      <c r="E4" s="39" t="s">
        <v>15</v>
      </c>
      <c r="F4" s="40" t="s">
        <v>16</v>
      </c>
      <c r="G4" s="252" t="s">
        <v>105</v>
      </c>
      <c r="H4" s="252" t="s">
        <v>106</v>
      </c>
      <c r="I4" s="118" t="s">
        <v>45</v>
      </c>
      <c r="J4" s="35" t="s">
        <v>46</v>
      </c>
      <c r="K4" s="33" t="s">
        <v>66</v>
      </c>
      <c r="L4" s="35" t="s">
        <v>50</v>
      </c>
      <c r="M4" s="33" t="s">
        <v>65</v>
      </c>
      <c r="N4" s="33" t="s">
        <v>99</v>
      </c>
      <c r="O4" s="203" t="s">
        <v>102</v>
      </c>
      <c r="P4" s="33" t="s">
        <v>64</v>
      </c>
      <c r="Q4" s="202" t="s">
        <v>101</v>
      </c>
      <c r="R4" s="120" t="s">
        <v>63</v>
      </c>
      <c r="S4" s="119" t="s">
        <v>47</v>
      </c>
      <c r="T4" s="120" t="s">
        <v>62</v>
      </c>
      <c r="U4" s="119" t="s">
        <v>49</v>
      </c>
      <c r="V4" s="120" t="s">
        <v>61</v>
      </c>
      <c r="W4" s="34" t="s">
        <v>33</v>
      </c>
      <c r="X4" s="35" t="s">
        <v>58</v>
      </c>
      <c r="Y4" s="33" t="s">
        <v>67</v>
      </c>
      <c r="Z4" s="106" t="s">
        <v>34</v>
      </c>
      <c r="AA4" s="35" t="s">
        <v>35</v>
      </c>
      <c r="AB4" s="33" t="s">
        <v>68</v>
      </c>
      <c r="AC4" s="34" t="s">
        <v>37</v>
      </c>
      <c r="AD4" s="35" t="s">
        <v>82</v>
      </c>
      <c r="AE4" s="33" t="s">
        <v>69</v>
      </c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90" ht="15.75" customHeight="1" thickBot="1" x14ac:dyDescent="0.35">
      <c r="A5" s="31" t="s">
        <v>20</v>
      </c>
      <c r="B5" s="92">
        <f>('Summary Statistics KPI 0'!B10)</f>
        <v>25403</v>
      </c>
      <c r="C5" s="85">
        <f>('Summary Statistics KPI 0'!C10)</f>
        <v>1352</v>
      </c>
      <c r="D5" s="85">
        <f>('Summary Statistics KPI 0'!E10)</f>
        <v>2177</v>
      </c>
      <c r="E5" s="85">
        <f>('Summary Statistics KPI 0'!G10)</f>
        <v>19</v>
      </c>
      <c r="F5" s="93">
        <f>('Summary Statistics KPI 0'!I10)</f>
        <v>21893</v>
      </c>
      <c r="G5" s="254">
        <v>0.99</v>
      </c>
      <c r="H5" s="267">
        <v>0.97699999999999998</v>
      </c>
      <c r="I5" s="204">
        <v>1594</v>
      </c>
      <c r="J5" s="205">
        <v>20163</v>
      </c>
      <c r="K5" s="191">
        <f>J5/(F5-I5)</f>
        <v>0.99330016256958475</v>
      </c>
      <c r="L5" s="210">
        <v>14839</v>
      </c>
      <c r="M5" s="191">
        <f>L5/F5</f>
        <v>0.67779655597679622</v>
      </c>
      <c r="N5" s="123">
        <f t="shared" ref="N5:N15" si="0">(K5-M5)</f>
        <v>0.31550360659278853</v>
      </c>
      <c r="O5" s="210">
        <v>14878</v>
      </c>
      <c r="P5" s="191">
        <f t="shared" ref="P5:P19" si="1">O5/F5</f>
        <v>0.67957794728908782</v>
      </c>
      <c r="Q5" s="210">
        <v>14819</v>
      </c>
      <c r="R5" s="191">
        <f t="shared" ref="R5:R19" si="2">Q5/F5</f>
        <v>0.67688302197049288</v>
      </c>
      <c r="S5" s="210">
        <v>19135</v>
      </c>
      <c r="T5" s="191">
        <f t="shared" ref="T5:T19" si="3">S5/F5</f>
        <v>0.8740236605307633</v>
      </c>
      <c r="U5" s="210">
        <v>451</v>
      </c>
      <c r="V5" s="191">
        <f t="shared" ref="V5:V19" si="4">U5/F5</f>
        <v>2.0600191842141322E-2</v>
      </c>
      <c r="W5" s="210">
        <v>14664</v>
      </c>
      <c r="X5" s="210">
        <v>462</v>
      </c>
      <c r="Y5" s="191">
        <f>X5/W5</f>
        <v>3.1505728314238951E-2</v>
      </c>
      <c r="Z5" s="204">
        <v>1204</v>
      </c>
      <c r="AA5" s="205">
        <v>29</v>
      </c>
      <c r="AB5" s="123">
        <f>AA5/Z5</f>
        <v>2.408637873754153E-2</v>
      </c>
      <c r="AC5" s="220">
        <f>(W5+Z5)</f>
        <v>15868</v>
      </c>
      <c r="AD5" s="221">
        <f>(X5+AA5)</f>
        <v>491</v>
      </c>
      <c r="AE5" s="123">
        <f>AD5/AC5</f>
        <v>3.0942777917822031E-2</v>
      </c>
      <c r="AS5"/>
    </row>
    <row r="6" spans="1:90" ht="15.75" customHeight="1" thickBot="1" x14ac:dyDescent="0.35">
      <c r="A6" s="31" t="s">
        <v>2</v>
      </c>
      <c r="B6" s="92">
        <f>('Summary Statistics KPI 0'!B11)</f>
        <v>8264</v>
      </c>
      <c r="C6" s="85">
        <f>('Summary Statistics KPI 0'!C11)</f>
        <v>793</v>
      </c>
      <c r="D6" s="85">
        <f>('Summary Statistics KPI 0'!E11)</f>
        <v>1446</v>
      </c>
      <c r="E6" s="85">
        <f>('Summary Statistics KPI 0'!G11)</f>
        <v>62</v>
      </c>
      <c r="F6" s="93">
        <f>('Summary Statistics KPI 0'!I11)</f>
        <v>6087</v>
      </c>
      <c r="G6" s="254">
        <v>1</v>
      </c>
      <c r="H6" s="267">
        <v>0.99</v>
      </c>
      <c r="I6" s="206">
        <v>608</v>
      </c>
      <c r="J6" s="207">
        <v>5059</v>
      </c>
      <c r="K6" s="192">
        <f t="shared" ref="K6:K19" si="5">J6/(F6-I6)</f>
        <v>0.92334367585325794</v>
      </c>
      <c r="L6" s="211">
        <v>4157</v>
      </c>
      <c r="M6" s="192">
        <f t="shared" ref="M6:M19" si="6">L6/F6</f>
        <v>0.68293083620831285</v>
      </c>
      <c r="N6" s="116">
        <f t="shared" si="0"/>
        <v>0.24041283964494509</v>
      </c>
      <c r="O6" s="211">
        <v>4079</v>
      </c>
      <c r="P6" s="192">
        <f t="shared" si="1"/>
        <v>0.67011664202398558</v>
      </c>
      <c r="Q6" s="211">
        <v>4058</v>
      </c>
      <c r="R6" s="192">
        <f t="shared" si="2"/>
        <v>0.66666666666666663</v>
      </c>
      <c r="S6" s="211">
        <v>5079</v>
      </c>
      <c r="T6" s="192">
        <f t="shared" si="3"/>
        <v>0.83440118284869391</v>
      </c>
      <c r="U6" s="211">
        <v>71</v>
      </c>
      <c r="V6" s="192">
        <f t="shared" si="4"/>
        <v>1.1664202398554296E-2</v>
      </c>
      <c r="W6" s="211">
        <v>4122</v>
      </c>
      <c r="X6" s="211">
        <v>78</v>
      </c>
      <c r="Y6" s="192">
        <f t="shared" ref="Y6:Y19" si="7">X6/W6</f>
        <v>1.8922852983988356E-2</v>
      </c>
      <c r="Z6" s="206">
        <v>236</v>
      </c>
      <c r="AA6" s="207">
        <v>3</v>
      </c>
      <c r="AB6" s="116">
        <f t="shared" ref="AB6:AB18" si="8">AA6/Z6</f>
        <v>1.2711864406779662E-2</v>
      </c>
      <c r="AC6" s="220">
        <f t="shared" ref="AC6:AC18" si="9">(W6+Z6)</f>
        <v>4358</v>
      </c>
      <c r="AD6" s="221">
        <f t="shared" ref="AD6:AD18" si="10">(X6+AA6)</f>
        <v>81</v>
      </c>
      <c r="AE6" s="116">
        <f t="shared" ref="AE6:AE19" si="11">AD6/AC6</f>
        <v>1.8586507572280864E-2</v>
      </c>
      <c r="AR6"/>
      <c r="AS6"/>
    </row>
    <row r="7" spans="1:90" ht="15.75" customHeight="1" thickBot="1" x14ac:dyDescent="0.35">
      <c r="A7" s="31" t="s">
        <v>3</v>
      </c>
      <c r="B7" s="92">
        <f>('Summary Statistics KPI 0'!B12)</f>
        <v>10280</v>
      </c>
      <c r="C7" s="85">
        <f>('Summary Statistics KPI 0'!C12)</f>
        <v>1027</v>
      </c>
      <c r="D7" s="85">
        <f>('Summary Statistics KPI 0'!E12)</f>
        <v>950</v>
      </c>
      <c r="E7" s="85">
        <f>('Summary Statistics KPI 0'!G12)</f>
        <v>216</v>
      </c>
      <c r="F7" s="93">
        <f>('Summary Statistics KPI 0'!I12)</f>
        <v>8519</v>
      </c>
      <c r="G7" s="254">
        <v>0.98</v>
      </c>
      <c r="H7" s="267">
        <v>1</v>
      </c>
      <c r="I7" s="206">
        <v>738</v>
      </c>
      <c r="J7" s="207">
        <v>7639</v>
      </c>
      <c r="K7" s="192">
        <f t="shared" si="5"/>
        <v>0.98175041768410232</v>
      </c>
      <c r="L7" s="211">
        <v>7126</v>
      </c>
      <c r="M7" s="192">
        <f t="shared" si="6"/>
        <v>0.83648315529991779</v>
      </c>
      <c r="N7" s="116">
        <f t="shared" si="0"/>
        <v>0.14526726238418453</v>
      </c>
      <c r="O7" s="211">
        <v>7123</v>
      </c>
      <c r="P7" s="192">
        <f t="shared" si="1"/>
        <v>0.83613100129123141</v>
      </c>
      <c r="Q7" s="211">
        <v>7102</v>
      </c>
      <c r="R7" s="192">
        <f t="shared" si="2"/>
        <v>0.8336659232304261</v>
      </c>
      <c r="S7" s="211">
        <v>7959</v>
      </c>
      <c r="T7" s="192">
        <f t="shared" si="3"/>
        <v>0.93426458504519305</v>
      </c>
      <c r="U7" s="211">
        <v>57</v>
      </c>
      <c r="V7" s="192">
        <f t="shared" si="4"/>
        <v>6.6909261650428455E-3</v>
      </c>
      <c r="W7" s="211">
        <v>7464</v>
      </c>
      <c r="X7" s="211">
        <v>67</v>
      </c>
      <c r="Y7" s="192">
        <f t="shared" si="7"/>
        <v>8.9764201500535899E-3</v>
      </c>
      <c r="Z7" s="206">
        <v>98</v>
      </c>
      <c r="AA7" s="207">
        <v>5</v>
      </c>
      <c r="AB7" s="116">
        <f t="shared" si="8"/>
        <v>5.1020408163265307E-2</v>
      </c>
      <c r="AC7" s="220">
        <f t="shared" si="9"/>
        <v>7562</v>
      </c>
      <c r="AD7" s="221">
        <f t="shared" si="10"/>
        <v>72</v>
      </c>
      <c r="AE7" s="116">
        <f t="shared" si="11"/>
        <v>9.5212906638455427E-3</v>
      </c>
      <c r="AR7"/>
      <c r="AS7"/>
    </row>
    <row r="8" spans="1:90" ht="15.75" customHeight="1" thickBot="1" x14ac:dyDescent="0.35">
      <c r="A8" s="31" t="s">
        <v>4</v>
      </c>
      <c r="B8" s="92">
        <f>('Summary Statistics KPI 0'!B13)</f>
        <v>22252</v>
      </c>
      <c r="C8" s="85">
        <f>('Summary Statistics KPI 0'!C13)</f>
        <v>1971</v>
      </c>
      <c r="D8" s="85">
        <f>('Summary Statistics KPI 0'!E13)</f>
        <v>1157</v>
      </c>
      <c r="E8" s="85">
        <f>('Summary Statistics KPI 0'!G13)</f>
        <v>146</v>
      </c>
      <c r="F8" s="93">
        <f>('Summary Statistics KPI 0'!I13)</f>
        <v>19270</v>
      </c>
      <c r="G8" s="254">
        <v>0.95199999999999996</v>
      </c>
      <c r="H8" s="267">
        <v>1</v>
      </c>
      <c r="I8" s="206">
        <v>2335</v>
      </c>
      <c r="J8" s="207">
        <v>15686</v>
      </c>
      <c r="K8" s="192">
        <f t="shared" si="5"/>
        <v>0.92624741659285503</v>
      </c>
      <c r="L8" s="211">
        <v>13725</v>
      </c>
      <c r="M8" s="192">
        <f t="shared" si="6"/>
        <v>0.71224701608718211</v>
      </c>
      <c r="N8" s="116">
        <f t="shared" si="0"/>
        <v>0.21400040050567293</v>
      </c>
      <c r="O8" s="211">
        <v>13599</v>
      </c>
      <c r="P8" s="192">
        <f t="shared" si="1"/>
        <v>0.70570835495589002</v>
      </c>
      <c r="Q8" s="211">
        <v>13524</v>
      </c>
      <c r="R8" s="192">
        <f t="shared" si="2"/>
        <v>0.70181629475869223</v>
      </c>
      <c r="S8" s="211">
        <v>17297</v>
      </c>
      <c r="T8" s="192">
        <f t="shared" si="3"/>
        <v>0.89761286974571874</v>
      </c>
      <c r="U8" s="211">
        <v>319</v>
      </c>
      <c r="V8" s="192">
        <f t="shared" si="4"/>
        <v>1.6554229372080956E-2</v>
      </c>
      <c r="W8" s="211">
        <v>13399</v>
      </c>
      <c r="X8" s="211">
        <v>335</v>
      </c>
      <c r="Y8" s="192">
        <f t="shared" si="7"/>
        <v>2.5001865810881409E-2</v>
      </c>
      <c r="Z8" s="206">
        <v>1351</v>
      </c>
      <c r="AA8" s="207">
        <v>5</v>
      </c>
      <c r="AB8" s="116">
        <f t="shared" si="8"/>
        <v>3.7009622501850479E-3</v>
      </c>
      <c r="AC8" s="220">
        <f t="shared" si="9"/>
        <v>14750</v>
      </c>
      <c r="AD8" s="221">
        <f t="shared" si="10"/>
        <v>340</v>
      </c>
      <c r="AE8" s="116">
        <f t="shared" si="11"/>
        <v>2.305084745762712E-2</v>
      </c>
      <c r="AG8" s="16"/>
      <c r="AR8"/>
      <c r="AS8"/>
    </row>
    <row r="9" spans="1:90" ht="15.75" customHeight="1" thickBot="1" x14ac:dyDescent="0.35">
      <c r="A9" s="31" t="s">
        <v>5</v>
      </c>
      <c r="B9" s="92">
        <f>('Summary Statistics KPI 0'!B14)</f>
        <v>17459</v>
      </c>
      <c r="C9" s="85">
        <f>('Summary Statistics KPI 0'!C14)</f>
        <v>1034</v>
      </c>
      <c r="D9" s="85">
        <f>('Summary Statistics KPI 0'!E14)</f>
        <v>665</v>
      </c>
      <c r="E9" s="85">
        <f>('Summary Statistics KPI 0'!G14)</f>
        <v>353</v>
      </c>
      <c r="F9" s="93">
        <f>('Summary Statistics KPI 0'!I14)</f>
        <v>16113</v>
      </c>
      <c r="G9" s="254">
        <v>0.99</v>
      </c>
      <c r="H9" s="267">
        <v>1</v>
      </c>
      <c r="I9" s="206">
        <v>1700</v>
      </c>
      <c r="J9" s="207">
        <v>11372</v>
      </c>
      <c r="K9" s="192">
        <f t="shared" si="5"/>
        <v>0.78900992159855687</v>
      </c>
      <c r="L9" s="211">
        <v>10408</v>
      </c>
      <c r="M9" s="192">
        <f t="shared" si="6"/>
        <v>0.64593806243405949</v>
      </c>
      <c r="N9" s="116">
        <f t="shared" si="0"/>
        <v>0.14307185916449738</v>
      </c>
      <c r="O9" s="211">
        <v>10450</v>
      </c>
      <c r="P9" s="192">
        <f t="shared" si="1"/>
        <v>0.64854465338546519</v>
      </c>
      <c r="Q9" s="211">
        <v>10375</v>
      </c>
      <c r="R9" s="192">
        <f t="shared" si="2"/>
        <v>0.6438900266865264</v>
      </c>
      <c r="S9" s="211">
        <v>14183</v>
      </c>
      <c r="T9" s="192">
        <f t="shared" si="3"/>
        <v>0.88022093961397629</v>
      </c>
      <c r="U9" s="211">
        <v>347</v>
      </c>
      <c r="V9" s="192">
        <f t="shared" si="4"/>
        <v>2.1535406193756594E-2</v>
      </c>
      <c r="W9" s="211">
        <v>10159</v>
      </c>
      <c r="X9" s="211">
        <v>359</v>
      </c>
      <c r="Y9" s="192">
        <f t="shared" si="7"/>
        <v>3.5338123831085734E-2</v>
      </c>
      <c r="Z9" s="206">
        <v>1006</v>
      </c>
      <c r="AA9" s="207">
        <v>16</v>
      </c>
      <c r="AB9" s="116">
        <f t="shared" si="8"/>
        <v>1.5904572564612324E-2</v>
      </c>
      <c r="AC9" s="220">
        <f t="shared" si="9"/>
        <v>11165</v>
      </c>
      <c r="AD9" s="221">
        <f t="shared" si="10"/>
        <v>375</v>
      </c>
      <c r="AE9" s="116">
        <f t="shared" si="11"/>
        <v>3.3587102552619791E-2</v>
      </c>
      <c r="AG9" s="16"/>
      <c r="AJ9"/>
      <c r="AK9"/>
      <c r="AL9"/>
      <c r="AM9"/>
      <c r="AN9"/>
      <c r="AO9"/>
      <c r="AP9"/>
      <c r="AQ9"/>
      <c r="AR9"/>
      <c r="AS9"/>
    </row>
    <row r="10" spans="1:90" s="11" customFormat="1" ht="15.75" customHeight="1" thickBot="1" x14ac:dyDescent="0.35">
      <c r="A10" s="65" t="s">
        <v>6</v>
      </c>
      <c r="B10" s="92">
        <f>('Summary Statistics KPI 0'!B15)</f>
        <v>31383</v>
      </c>
      <c r="C10" s="85">
        <f>('Summary Statistics KPI 0'!C15)</f>
        <v>1613</v>
      </c>
      <c r="D10" s="85">
        <f>('Summary Statistics KPI 0'!E15)</f>
        <v>3019</v>
      </c>
      <c r="E10" s="85">
        <f>('Summary Statistics KPI 0'!G15)</f>
        <v>319</v>
      </c>
      <c r="F10" s="93">
        <f>('Summary Statistics KPI 0'!I15)</f>
        <v>27070</v>
      </c>
      <c r="G10" s="254">
        <v>0.94299999999999995</v>
      </c>
      <c r="H10" s="267">
        <v>1</v>
      </c>
      <c r="I10" s="206">
        <v>2989</v>
      </c>
      <c r="J10" s="207">
        <v>21118</v>
      </c>
      <c r="K10" s="193">
        <f t="shared" si="5"/>
        <v>0.87695693700427724</v>
      </c>
      <c r="L10" s="211">
        <v>18675</v>
      </c>
      <c r="M10" s="193">
        <f t="shared" si="6"/>
        <v>0.689878093830809</v>
      </c>
      <c r="N10" s="116">
        <f t="shared" si="0"/>
        <v>0.18707884317346823</v>
      </c>
      <c r="O10" s="211">
        <v>18216</v>
      </c>
      <c r="P10" s="193">
        <f t="shared" si="1"/>
        <v>0.67292205393424454</v>
      </c>
      <c r="Q10" s="211">
        <v>18112</v>
      </c>
      <c r="R10" s="193">
        <f t="shared" si="2"/>
        <v>0.66908016254155889</v>
      </c>
      <c r="S10" s="211">
        <v>24074</v>
      </c>
      <c r="T10" s="193">
        <f t="shared" si="3"/>
        <v>0.88932397487994086</v>
      </c>
      <c r="U10" s="211">
        <v>528</v>
      </c>
      <c r="V10" s="193">
        <f t="shared" si="4"/>
        <v>1.9504987070557814E-2</v>
      </c>
      <c r="W10" s="211">
        <v>19171</v>
      </c>
      <c r="X10" s="211">
        <v>558</v>
      </c>
      <c r="Y10" s="193">
        <f t="shared" si="7"/>
        <v>2.9106462886651713E-2</v>
      </c>
      <c r="Z10" s="206">
        <v>887</v>
      </c>
      <c r="AA10" s="207">
        <v>7</v>
      </c>
      <c r="AB10" s="195">
        <f t="shared" si="8"/>
        <v>7.8917700112739568E-3</v>
      </c>
      <c r="AC10" s="220">
        <f t="shared" si="9"/>
        <v>20058</v>
      </c>
      <c r="AD10" s="221">
        <f t="shared" si="10"/>
        <v>565</v>
      </c>
      <c r="AE10" s="195">
        <f t="shared" si="11"/>
        <v>2.8168311895503041E-2</v>
      </c>
      <c r="AF10" s="9"/>
      <c r="AG10" s="16"/>
      <c r="AH10" s="9"/>
      <c r="AI10" s="9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</row>
    <row r="11" spans="1:90" ht="15.75" customHeight="1" thickBot="1" x14ac:dyDescent="0.35">
      <c r="A11" s="31" t="s">
        <v>7</v>
      </c>
      <c r="B11" s="92">
        <f>('Summary Statistics KPI 0'!B16)</f>
        <v>66755</v>
      </c>
      <c r="C11" s="85">
        <f>('Summary Statistics KPI 0'!C16)</f>
        <v>6666</v>
      </c>
      <c r="D11" s="85">
        <f>('Summary Statistics KPI 0'!E16)</f>
        <v>3505</v>
      </c>
      <c r="E11" s="85">
        <f>('Summary Statistics KPI 0'!G16)</f>
        <v>1513</v>
      </c>
      <c r="F11" s="93">
        <f>('Summary Statistics KPI 0'!I16)</f>
        <v>58097</v>
      </c>
      <c r="G11" s="254">
        <v>0.96599999999999997</v>
      </c>
      <c r="H11" s="267">
        <v>1</v>
      </c>
      <c r="I11" s="206">
        <v>4576</v>
      </c>
      <c r="J11" s="207">
        <v>45708</v>
      </c>
      <c r="K11" s="192">
        <f t="shared" si="5"/>
        <v>0.85401991741559391</v>
      </c>
      <c r="L11" s="211">
        <v>39467</v>
      </c>
      <c r="M11" s="192">
        <f t="shared" si="6"/>
        <v>0.67932939738712839</v>
      </c>
      <c r="N11" s="116">
        <f t="shared" si="0"/>
        <v>0.17469052002846552</v>
      </c>
      <c r="O11" s="211">
        <v>39278</v>
      </c>
      <c r="P11" s="192">
        <f t="shared" si="1"/>
        <v>0.67607621736062107</v>
      </c>
      <c r="Q11" s="211">
        <v>39138</v>
      </c>
      <c r="R11" s="192">
        <f t="shared" si="2"/>
        <v>0.67366645437802297</v>
      </c>
      <c r="S11" s="211">
        <v>50729</v>
      </c>
      <c r="T11" s="192">
        <f t="shared" si="3"/>
        <v>0.87317761674441019</v>
      </c>
      <c r="U11" s="211">
        <v>754</v>
      </c>
      <c r="V11" s="192">
        <f t="shared" si="4"/>
        <v>1.2978294920563885E-2</v>
      </c>
      <c r="W11" s="211">
        <v>38275</v>
      </c>
      <c r="X11" s="211">
        <v>793</v>
      </c>
      <c r="Y11" s="192">
        <f t="shared" si="7"/>
        <v>2.0718484650555192E-2</v>
      </c>
      <c r="Z11" s="206">
        <v>3052</v>
      </c>
      <c r="AA11" s="207">
        <v>0</v>
      </c>
      <c r="AB11" s="116">
        <f t="shared" si="8"/>
        <v>0</v>
      </c>
      <c r="AC11" s="220">
        <f t="shared" si="9"/>
        <v>41327</v>
      </c>
      <c r="AD11" s="221">
        <f t="shared" si="10"/>
        <v>793</v>
      </c>
      <c r="AE11" s="116">
        <f t="shared" si="11"/>
        <v>1.9188424032714691E-2</v>
      </c>
      <c r="AG11" s="16"/>
      <c r="AJ11"/>
      <c r="AK11"/>
      <c r="AL11"/>
      <c r="AM11"/>
      <c r="AN11"/>
      <c r="AO11"/>
      <c r="AP11"/>
      <c r="AQ11"/>
      <c r="AR11"/>
      <c r="AS11"/>
    </row>
    <row r="12" spans="1:90" ht="15.75" customHeight="1" thickBot="1" x14ac:dyDescent="0.35">
      <c r="A12" s="31" t="s">
        <v>8</v>
      </c>
      <c r="B12" s="92">
        <f>('Summary Statistics KPI 0'!B17)</f>
        <v>18536</v>
      </c>
      <c r="C12" s="85">
        <f>('Summary Statistics KPI 0'!C17)</f>
        <v>1466</v>
      </c>
      <c r="D12" s="85">
        <f>('Summary Statistics KPI 0'!E17)</f>
        <v>1374</v>
      </c>
      <c r="E12" s="85">
        <f>('Summary Statistics KPI 0'!G17)</f>
        <v>294</v>
      </c>
      <c r="F12" s="93">
        <f>('Summary Statistics KPI 0'!I17)</f>
        <v>15990</v>
      </c>
      <c r="G12" s="254">
        <v>1</v>
      </c>
      <c r="H12" s="267">
        <v>0.97699999999999998</v>
      </c>
      <c r="I12" s="206">
        <v>4921</v>
      </c>
      <c r="J12" s="207">
        <v>9905</v>
      </c>
      <c r="K12" s="192">
        <f t="shared" si="5"/>
        <v>0.89484144909205887</v>
      </c>
      <c r="L12" s="211">
        <v>11268</v>
      </c>
      <c r="M12" s="192">
        <f t="shared" si="6"/>
        <v>0.70469043151969979</v>
      </c>
      <c r="N12" s="116">
        <f t="shared" si="0"/>
        <v>0.19015101757235908</v>
      </c>
      <c r="O12" s="211">
        <v>11184</v>
      </c>
      <c r="P12" s="192">
        <f t="shared" si="1"/>
        <v>0.69943714821763603</v>
      </c>
      <c r="Q12" s="211">
        <v>11172</v>
      </c>
      <c r="R12" s="192">
        <f t="shared" si="2"/>
        <v>0.69868667917448402</v>
      </c>
      <c r="S12" s="211">
        <v>13315</v>
      </c>
      <c r="T12" s="192">
        <f t="shared" si="3"/>
        <v>0.83270794246404001</v>
      </c>
      <c r="U12" s="211">
        <v>413</v>
      </c>
      <c r="V12" s="192">
        <f t="shared" si="4"/>
        <v>2.5828642901813633E-2</v>
      </c>
      <c r="W12" s="211">
        <v>11243</v>
      </c>
      <c r="X12" s="211">
        <v>595</v>
      </c>
      <c r="Y12" s="192">
        <f t="shared" si="7"/>
        <v>5.2921818020101395E-2</v>
      </c>
      <c r="Z12" s="206">
        <v>858</v>
      </c>
      <c r="AA12" s="207">
        <v>19</v>
      </c>
      <c r="AB12" s="116">
        <f t="shared" si="8"/>
        <v>2.2144522144522144E-2</v>
      </c>
      <c r="AC12" s="220">
        <f t="shared" si="9"/>
        <v>12101</v>
      </c>
      <c r="AD12" s="221">
        <f t="shared" si="10"/>
        <v>614</v>
      </c>
      <c r="AE12" s="116">
        <f t="shared" si="11"/>
        <v>5.0739608296834972E-2</v>
      </c>
      <c r="AG12" s="16"/>
      <c r="AJ12"/>
      <c r="AK12"/>
      <c r="AL12"/>
      <c r="AM12"/>
      <c r="AN12"/>
      <c r="AO12"/>
      <c r="AP12"/>
      <c r="AQ12"/>
      <c r="AR12"/>
      <c r="AS12"/>
    </row>
    <row r="13" spans="1:90" ht="15.75" customHeight="1" thickBot="1" x14ac:dyDescent="0.35">
      <c r="A13" s="31" t="s">
        <v>9</v>
      </c>
      <c r="B13" s="92">
        <f>('Summary Statistics KPI 0'!B18)</f>
        <v>40217</v>
      </c>
      <c r="C13" s="85">
        <f>('Summary Statistics KPI 0'!C18)</f>
        <v>4120</v>
      </c>
      <c r="D13" s="85">
        <f>('Summary Statistics KPI 0'!E18)</f>
        <v>2371</v>
      </c>
      <c r="E13" s="85">
        <f>('Summary Statistics KPI 0'!G18)</f>
        <v>1551</v>
      </c>
      <c r="F13" s="93">
        <f>('Summary Statistics KPI 0'!I18)</f>
        <v>35277</v>
      </c>
      <c r="G13" s="254">
        <v>0.873</v>
      </c>
      <c r="H13" s="267">
        <v>0.98599999999999999</v>
      </c>
      <c r="I13" s="206">
        <v>5909</v>
      </c>
      <c r="J13" s="207">
        <v>24286</v>
      </c>
      <c r="K13" s="192">
        <f t="shared" si="5"/>
        <v>0.82695450830836281</v>
      </c>
      <c r="L13" s="211">
        <v>24680</v>
      </c>
      <c r="M13" s="192">
        <f t="shared" si="6"/>
        <v>0.69960597556481563</v>
      </c>
      <c r="N13" s="116">
        <f t="shared" si="0"/>
        <v>0.12734853274354718</v>
      </c>
      <c r="O13" s="211">
        <v>24353</v>
      </c>
      <c r="P13" s="192">
        <f t="shared" si="1"/>
        <v>0.6903364798593985</v>
      </c>
      <c r="Q13" s="211">
        <v>24246</v>
      </c>
      <c r="R13" s="192">
        <f t="shared" si="2"/>
        <v>0.6873033421209287</v>
      </c>
      <c r="S13" s="211">
        <v>28858</v>
      </c>
      <c r="T13" s="192">
        <f t="shared" si="3"/>
        <v>0.81804008277347851</v>
      </c>
      <c r="U13" s="211">
        <v>627</v>
      </c>
      <c r="V13" s="192">
        <f t="shared" si="4"/>
        <v>1.7773620205799812E-2</v>
      </c>
      <c r="W13" s="211">
        <v>23694</v>
      </c>
      <c r="X13" s="211">
        <v>601</v>
      </c>
      <c r="Y13" s="192">
        <f t="shared" si="7"/>
        <v>2.5365071326074112E-2</v>
      </c>
      <c r="Z13" s="206">
        <v>2004</v>
      </c>
      <c r="AA13" s="207">
        <v>69</v>
      </c>
      <c r="AB13" s="116">
        <f t="shared" si="8"/>
        <v>3.4431137724550899E-2</v>
      </c>
      <c r="AC13" s="220">
        <f t="shared" si="9"/>
        <v>25698</v>
      </c>
      <c r="AD13" s="221">
        <f t="shared" si="10"/>
        <v>670</v>
      </c>
      <c r="AE13" s="116">
        <f t="shared" si="11"/>
        <v>2.6072067865203517E-2</v>
      </c>
      <c r="AG13" s="16"/>
      <c r="AJ13"/>
      <c r="AK13"/>
      <c r="AL13"/>
      <c r="AM13"/>
      <c r="AN13"/>
      <c r="AO13"/>
      <c r="AP13"/>
      <c r="AQ13"/>
      <c r="AR13"/>
      <c r="AS13"/>
    </row>
    <row r="14" spans="1:90" ht="15.75" customHeight="1" thickBot="1" x14ac:dyDescent="0.35">
      <c r="A14" s="31" t="s">
        <v>10</v>
      </c>
      <c r="B14" s="92">
        <f>('Summary Statistics KPI 0'!B19)</f>
        <v>45693</v>
      </c>
      <c r="C14" s="85">
        <f>('Summary Statistics KPI 0'!C19)</f>
        <v>2888</v>
      </c>
      <c r="D14" s="85">
        <f>('Summary Statistics KPI 0'!E19)</f>
        <v>5241</v>
      </c>
      <c r="E14" s="85">
        <f>('Summary Statistics KPI 0'!G19)</f>
        <v>249</v>
      </c>
      <c r="F14" s="93">
        <f>('Summary Statistics KPI 0'!I19)</f>
        <v>37813</v>
      </c>
      <c r="G14" s="254">
        <v>1</v>
      </c>
      <c r="H14" s="267">
        <v>0.98799999999999999</v>
      </c>
      <c r="I14" s="206">
        <v>5000</v>
      </c>
      <c r="J14" s="207">
        <v>27476</v>
      </c>
      <c r="K14" s="192">
        <f t="shared" si="5"/>
        <v>0.83735104988876363</v>
      </c>
      <c r="L14" s="211">
        <v>25341</v>
      </c>
      <c r="M14" s="192">
        <f t="shared" si="6"/>
        <v>0.67016634490783589</v>
      </c>
      <c r="N14" s="116">
        <f t="shared" si="0"/>
        <v>0.16718470498092775</v>
      </c>
      <c r="O14" s="211">
        <v>25074</v>
      </c>
      <c r="P14" s="192">
        <f t="shared" si="1"/>
        <v>0.66310528125247925</v>
      </c>
      <c r="Q14" s="211">
        <v>24949</v>
      </c>
      <c r="R14" s="192">
        <f t="shared" si="2"/>
        <v>0.65979953984079553</v>
      </c>
      <c r="S14" s="211">
        <v>32439</v>
      </c>
      <c r="T14" s="192">
        <f t="shared" si="3"/>
        <v>0.85787956522888953</v>
      </c>
      <c r="U14" s="211">
        <v>585</v>
      </c>
      <c r="V14" s="192">
        <f t="shared" si="4"/>
        <v>1.5470869806680242E-2</v>
      </c>
      <c r="W14" s="211">
        <v>24516</v>
      </c>
      <c r="X14" s="211">
        <v>624</v>
      </c>
      <c r="Y14" s="192">
        <f t="shared" si="7"/>
        <v>2.5452765540871267E-2</v>
      </c>
      <c r="Z14" s="206">
        <v>2420</v>
      </c>
      <c r="AA14" s="207">
        <v>72</v>
      </c>
      <c r="AB14" s="116">
        <f t="shared" si="8"/>
        <v>2.9752066115702479E-2</v>
      </c>
      <c r="AC14" s="220">
        <f t="shared" si="9"/>
        <v>26936</v>
      </c>
      <c r="AD14" s="221">
        <f t="shared" si="10"/>
        <v>696</v>
      </c>
      <c r="AE14" s="116">
        <f t="shared" si="11"/>
        <v>2.583902583902584E-2</v>
      </c>
      <c r="AG14" s="16"/>
      <c r="AJ14"/>
      <c r="AK14"/>
      <c r="AL14"/>
      <c r="AM14"/>
      <c r="AN14"/>
      <c r="AO14"/>
      <c r="AP14"/>
      <c r="AQ14"/>
      <c r="AR14"/>
      <c r="AS14"/>
    </row>
    <row r="15" spans="1:90" ht="15.75" customHeight="1" thickBot="1" x14ac:dyDescent="0.35">
      <c r="A15" s="31" t="s">
        <v>11</v>
      </c>
      <c r="B15" s="92">
        <f>('Summary Statistics KPI 0'!B20)</f>
        <v>1255</v>
      </c>
      <c r="C15" s="85">
        <f>('Summary Statistics KPI 0'!C20)</f>
        <v>91</v>
      </c>
      <c r="D15" s="85">
        <f>('Summary Statistics KPI 0'!E20)</f>
        <v>93</v>
      </c>
      <c r="E15" s="85">
        <f>('Summary Statistics KPI 0'!G20)</f>
        <v>10</v>
      </c>
      <c r="F15" s="93">
        <f>('Summary Statistics KPI 0'!I20)</f>
        <v>1081</v>
      </c>
      <c r="G15" s="254">
        <v>0.98699999999999999</v>
      </c>
      <c r="H15" s="267">
        <v>1</v>
      </c>
      <c r="I15" s="206">
        <v>12</v>
      </c>
      <c r="J15" s="207">
        <v>1043</v>
      </c>
      <c r="K15" s="192">
        <f t="shared" si="5"/>
        <v>0.97567820392890547</v>
      </c>
      <c r="L15" s="211">
        <v>877</v>
      </c>
      <c r="M15" s="192">
        <f t="shared" si="6"/>
        <v>0.81128584643848289</v>
      </c>
      <c r="N15" s="116">
        <f t="shared" si="0"/>
        <v>0.16439235749042258</v>
      </c>
      <c r="O15" s="211">
        <v>864</v>
      </c>
      <c r="P15" s="192">
        <f t="shared" si="1"/>
        <v>0.79925994449583715</v>
      </c>
      <c r="Q15" s="211">
        <v>864</v>
      </c>
      <c r="R15" s="192">
        <f t="shared" si="2"/>
        <v>0.79925994449583715</v>
      </c>
      <c r="S15" s="211">
        <v>1004</v>
      </c>
      <c r="T15" s="192">
        <f t="shared" si="3"/>
        <v>0.92876965772432929</v>
      </c>
      <c r="U15" s="211">
        <v>27</v>
      </c>
      <c r="V15" s="192">
        <f t="shared" si="4"/>
        <v>2.4976873265494911E-2</v>
      </c>
      <c r="W15" s="211">
        <v>895</v>
      </c>
      <c r="X15" s="211">
        <v>30</v>
      </c>
      <c r="Y15" s="192">
        <f t="shared" si="7"/>
        <v>3.3519553072625698E-2</v>
      </c>
      <c r="Z15" s="206">
        <v>54</v>
      </c>
      <c r="AA15" s="207">
        <v>0</v>
      </c>
      <c r="AB15" s="116">
        <f t="shared" si="8"/>
        <v>0</v>
      </c>
      <c r="AC15" s="220">
        <f t="shared" si="9"/>
        <v>949</v>
      </c>
      <c r="AD15" s="221">
        <f t="shared" si="10"/>
        <v>30</v>
      </c>
      <c r="AE15" s="116">
        <f t="shared" si="11"/>
        <v>3.1612223393045313E-2</v>
      </c>
      <c r="AJ15"/>
      <c r="AK15"/>
      <c r="AL15"/>
      <c r="AM15"/>
      <c r="AN15"/>
      <c r="AO15"/>
      <c r="AP15"/>
      <c r="AQ15"/>
      <c r="AR15"/>
      <c r="AS15"/>
    </row>
    <row r="16" spans="1:90" ht="15.75" customHeight="1" thickBot="1" x14ac:dyDescent="0.35">
      <c r="A16" s="31" t="s">
        <v>12</v>
      </c>
      <c r="B16" s="92">
        <f>('Summary Statistics KPI 0'!B21)</f>
        <v>1221</v>
      </c>
      <c r="C16" s="85">
        <f>('Summary Statistics KPI 0'!C21)</f>
        <v>113</v>
      </c>
      <c r="D16" s="85">
        <f>('Summary Statistics KPI 0'!E21)</f>
        <v>88</v>
      </c>
      <c r="E16" s="85">
        <f>('Summary Statistics KPI 0'!G21)</f>
        <v>34</v>
      </c>
      <c r="F16" s="93">
        <f>('Summary Statistics KPI 0'!I21)</f>
        <v>1054</v>
      </c>
      <c r="G16" s="254">
        <v>1</v>
      </c>
      <c r="H16" s="267">
        <v>1</v>
      </c>
      <c r="I16" s="206">
        <v>685</v>
      </c>
      <c r="J16" s="207">
        <v>3</v>
      </c>
      <c r="K16" s="192">
        <v>2E-3</v>
      </c>
      <c r="L16" s="211">
        <v>687</v>
      </c>
      <c r="M16" s="192">
        <f t="shared" si="6"/>
        <v>0.65180265654648961</v>
      </c>
      <c r="N16" s="116" t="s">
        <v>100</v>
      </c>
      <c r="O16" s="211">
        <v>673</v>
      </c>
      <c r="P16" s="192">
        <f t="shared" si="1"/>
        <v>0.63851992409867175</v>
      </c>
      <c r="Q16" s="211">
        <v>673</v>
      </c>
      <c r="R16" s="192">
        <f t="shared" si="2"/>
        <v>0.63851992409867175</v>
      </c>
      <c r="S16" s="211">
        <v>950</v>
      </c>
      <c r="T16" s="192">
        <f t="shared" si="3"/>
        <v>0.90132827324478182</v>
      </c>
      <c r="U16" s="211">
        <v>17</v>
      </c>
      <c r="V16" s="192">
        <f t="shared" si="4"/>
        <v>1.6129032258064516E-2</v>
      </c>
      <c r="W16" s="211">
        <v>740</v>
      </c>
      <c r="X16" s="211">
        <v>19</v>
      </c>
      <c r="Y16" s="192">
        <f t="shared" si="7"/>
        <v>2.5675675675675677E-2</v>
      </c>
      <c r="Z16" s="206">
        <v>38</v>
      </c>
      <c r="AA16" s="207">
        <v>0</v>
      </c>
      <c r="AB16" s="116">
        <f t="shared" si="8"/>
        <v>0</v>
      </c>
      <c r="AC16" s="220">
        <f t="shared" si="9"/>
        <v>778</v>
      </c>
      <c r="AD16" s="221">
        <f t="shared" si="10"/>
        <v>19</v>
      </c>
      <c r="AE16" s="116">
        <f t="shared" si="11"/>
        <v>2.4421593830334189E-2</v>
      </c>
      <c r="AJ16"/>
      <c r="AK16"/>
      <c r="AL16"/>
      <c r="AM16"/>
      <c r="AN16"/>
      <c r="AO16"/>
      <c r="AP16"/>
      <c r="AQ16"/>
      <c r="AR16"/>
      <c r="AS16"/>
    </row>
    <row r="17" spans="1:90" ht="15.75" customHeight="1" thickBot="1" x14ac:dyDescent="0.35">
      <c r="A17" s="31" t="s">
        <v>13</v>
      </c>
      <c r="B17" s="92">
        <f>('Summary Statistics KPI 0'!B22)</f>
        <v>24975</v>
      </c>
      <c r="C17" s="85">
        <f>('Summary Statistics KPI 0'!C22)</f>
        <v>1992</v>
      </c>
      <c r="D17" s="85">
        <f>('Summary Statistics KPI 0'!E22)</f>
        <v>1858</v>
      </c>
      <c r="E17" s="85">
        <f>('Summary Statistics KPI 0'!G22)</f>
        <v>354</v>
      </c>
      <c r="F17" s="93">
        <f>('Summary Statistics KPI 0'!I22)</f>
        <v>21479</v>
      </c>
      <c r="G17" s="254">
        <v>0.88300000000000001</v>
      </c>
      <c r="H17" s="267">
        <v>0.96599999999999997</v>
      </c>
      <c r="I17" s="206">
        <v>3749</v>
      </c>
      <c r="J17" s="207">
        <v>14741</v>
      </c>
      <c r="K17" s="192">
        <f t="shared" si="5"/>
        <v>0.83141567963902985</v>
      </c>
      <c r="L17" s="211">
        <v>14797</v>
      </c>
      <c r="M17" s="192">
        <f t="shared" si="6"/>
        <v>0.68890544252525721</v>
      </c>
      <c r="N17" s="116">
        <f>(K17-M17)</f>
        <v>0.14251023711377264</v>
      </c>
      <c r="O17" s="211">
        <v>14432</v>
      </c>
      <c r="P17" s="192">
        <f t="shared" si="1"/>
        <v>0.6719121001908841</v>
      </c>
      <c r="Q17" s="211">
        <v>14370</v>
      </c>
      <c r="R17" s="192">
        <f t="shared" si="2"/>
        <v>0.66902555984915502</v>
      </c>
      <c r="S17" s="211">
        <v>18699</v>
      </c>
      <c r="T17" s="192">
        <f t="shared" si="3"/>
        <v>0.87057125564504867</v>
      </c>
      <c r="U17" s="211">
        <v>471</v>
      </c>
      <c r="V17" s="192">
        <f t="shared" si="4"/>
        <v>2.1928395176684202E-2</v>
      </c>
      <c r="W17" s="211">
        <v>14895</v>
      </c>
      <c r="X17" s="211">
        <v>523</v>
      </c>
      <c r="Y17" s="192">
        <f t="shared" si="7"/>
        <v>3.5112453843571666E-2</v>
      </c>
      <c r="Z17" s="206">
        <v>1167</v>
      </c>
      <c r="AA17" s="207">
        <v>47</v>
      </c>
      <c r="AB17" s="116">
        <f t="shared" si="8"/>
        <v>4.0274207369323051E-2</v>
      </c>
      <c r="AC17" s="220">
        <f t="shared" si="9"/>
        <v>16062</v>
      </c>
      <c r="AD17" s="221">
        <f t="shared" si="10"/>
        <v>570</v>
      </c>
      <c r="AE17" s="116">
        <f t="shared" si="11"/>
        <v>3.5487485991781843E-2</v>
      </c>
      <c r="AJ17"/>
      <c r="AK17"/>
      <c r="AL17"/>
      <c r="AM17"/>
      <c r="AN17"/>
      <c r="AO17"/>
      <c r="AP17"/>
      <c r="AQ17"/>
      <c r="AR17"/>
      <c r="AS17"/>
    </row>
    <row r="18" spans="1:90" ht="15.75" customHeight="1" thickBot="1" x14ac:dyDescent="0.35">
      <c r="A18" s="91" t="s">
        <v>21</v>
      </c>
      <c r="B18" s="94">
        <f>('Summary Statistics KPI 0'!B23)</f>
        <v>1525</v>
      </c>
      <c r="C18" s="109">
        <f>('Summary Statistics KPI 0'!C23)</f>
        <v>178</v>
      </c>
      <c r="D18" s="109">
        <f>('Summary Statistics KPI 0'!E23)</f>
        <v>105</v>
      </c>
      <c r="E18" s="109">
        <f>('Summary Statistics KPI 0'!G23)</f>
        <v>28</v>
      </c>
      <c r="F18" s="110">
        <f>('Summary Statistics KPI 0'!I23)</f>
        <v>1270</v>
      </c>
      <c r="G18" s="254">
        <v>0.97299999999999998</v>
      </c>
      <c r="H18" s="268">
        <v>1</v>
      </c>
      <c r="I18" s="208">
        <v>174</v>
      </c>
      <c r="J18" s="209">
        <v>1058</v>
      </c>
      <c r="K18" s="194">
        <f t="shared" si="5"/>
        <v>0.96532846715328469</v>
      </c>
      <c r="L18" s="212">
        <v>869</v>
      </c>
      <c r="M18" s="194">
        <f t="shared" si="6"/>
        <v>0.68425196850393699</v>
      </c>
      <c r="N18" s="117">
        <f>(K18-M18)</f>
        <v>0.28107649864934769</v>
      </c>
      <c r="O18" s="212">
        <v>864</v>
      </c>
      <c r="P18" s="194">
        <f t="shared" si="1"/>
        <v>0.68031496062992125</v>
      </c>
      <c r="Q18" s="212">
        <v>863</v>
      </c>
      <c r="R18" s="194">
        <f t="shared" si="2"/>
        <v>0.67952755905511808</v>
      </c>
      <c r="S18" s="212">
        <v>1128</v>
      </c>
      <c r="T18" s="194">
        <f t="shared" si="3"/>
        <v>0.8881889763779528</v>
      </c>
      <c r="U18" s="212">
        <v>19</v>
      </c>
      <c r="V18" s="194">
        <f t="shared" si="4"/>
        <v>1.4960629921259842E-2</v>
      </c>
      <c r="W18" s="212">
        <v>851</v>
      </c>
      <c r="X18" s="212">
        <v>18</v>
      </c>
      <c r="Y18" s="194">
        <f t="shared" si="7"/>
        <v>2.1151586368977675E-2</v>
      </c>
      <c r="Z18" s="208">
        <v>79</v>
      </c>
      <c r="AA18" s="209">
        <v>3</v>
      </c>
      <c r="AB18" s="196">
        <f t="shared" si="8"/>
        <v>3.7974683544303799E-2</v>
      </c>
      <c r="AC18" s="220">
        <f t="shared" si="9"/>
        <v>930</v>
      </c>
      <c r="AD18" s="221">
        <f t="shared" si="10"/>
        <v>21</v>
      </c>
      <c r="AE18" s="196">
        <f t="shared" si="11"/>
        <v>2.2580645161290321E-2</v>
      </c>
      <c r="AJ18"/>
      <c r="AK18"/>
      <c r="AL18"/>
      <c r="AM18"/>
      <c r="AN18"/>
      <c r="AO18"/>
      <c r="AP18"/>
      <c r="AQ18"/>
      <c r="AR18"/>
      <c r="AS18"/>
      <c r="CJ18" s="169"/>
      <c r="CK18" s="169"/>
      <c r="CL18" s="169"/>
    </row>
    <row r="19" spans="1:90" s="169" customFormat="1" ht="15.75" customHeight="1" thickBot="1" x14ac:dyDescent="0.3">
      <c r="A19" s="151" t="s">
        <v>60</v>
      </c>
      <c r="B19" s="111">
        <f>('Summary Statistics KPI 0'!B24)</f>
        <v>315218</v>
      </c>
      <c r="C19" s="112">
        <f>('Summary Statistics KPI 0'!C24)</f>
        <v>25304</v>
      </c>
      <c r="D19" s="112">
        <f>('Summary Statistics KPI 0'!E24)</f>
        <v>24049</v>
      </c>
      <c r="E19" s="112">
        <f>('Summary Statistics KPI 0'!G24)</f>
        <v>5148</v>
      </c>
      <c r="F19" s="113">
        <f>('Summary Statistics KPI 0'!I24)</f>
        <v>271013</v>
      </c>
      <c r="G19" s="255">
        <v>0.95099999999999996</v>
      </c>
      <c r="H19" s="269">
        <v>0.99199999999999999</v>
      </c>
      <c r="I19" s="213">
        <f>SUM(I5:I18)</f>
        <v>34990</v>
      </c>
      <c r="J19" s="214">
        <f>SUM(J5:J18)</f>
        <v>205257</v>
      </c>
      <c r="K19" s="152">
        <f t="shared" si="5"/>
        <v>0.86964829698800539</v>
      </c>
      <c r="L19" s="213">
        <f>SUM(L5:L18)</f>
        <v>186916</v>
      </c>
      <c r="M19" s="152">
        <f t="shared" si="6"/>
        <v>0.68969385232442726</v>
      </c>
      <c r="N19" s="167">
        <f>(K19-M19)</f>
        <v>0.17995444466357813</v>
      </c>
      <c r="O19" s="215">
        <f>SUM(O5:O18)</f>
        <v>185067</v>
      </c>
      <c r="P19" s="152">
        <f t="shared" si="1"/>
        <v>0.68287130137668672</v>
      </c>
      <c r="Q19" s="213">
        <f>SUM(Q5:Q18)</f>
        <v>184265</v>
      </c>
      <c r="R19" s="152">
        <f t="shared" si="2"/>
        <v>0.67991203374007891</v>
      </c>
      <c r="S19" s="213">
        <f>SUM(S5:S18)</f>
        <v>234849</v>
      </c>
      <c r="T19" s="152">
        <f t="shared" si="3"/>
        <v>0.86655990672034178</v>
      </c>
      <c r="U19" s="213">
        <f>SUM(U5:U18)</f>
        <v>4686</v>
      </c>
      <c r="V19" s="152">
        <f t="shared" si="4"/>
        <v>1.7290683472748539E-2</v>
      </c>
      <c r="W19" s="213">
        <f>SUM(W5:W18)</f>
        <v>184088</v>
      </c>
      <c r="X19" s="214">
        <f>SUM(X5:X18)</f>
        <v>5062</v>
      </c>
      <c r="Y19" s="152">
        <f t="shared" si="7"/>
        <v>2.7497718482464909E-2</v>
      </c>
      <c r="Z19" s="216">
        <f>SUM(Z5:Z18)</f>
        <v>14454</v>
      </c>
      <c r="AA19" s="217">
        <f>SUM(AA5:AA18)</f>
        <v>275</v>
      </c>
      <c r="AB19" s="152">
        <f>AA19/Z19</f>
        <v>1.9025875190258751E-2</v>
      </c>
      <c r="AC19" s="218">
        <f>SUM(AC5:AC18)</f>
        <v>198542</v>
      </c>
      <c r="AD19" s="219">
        <f>SUM(AD5:AD18)</f>
        <v>5337</v>
      </c>
      <c r="AE19" s="152">
        <f t="shared" si="11"/>
        <v>2.6880962214544026E-2</v>
      </c>
      <c r="AF19" s="168"/>
      <c r="AG19" s="168"/>
      <c r="AH19" s="168"/>
      <c r="AI19" s="168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5">
      <c r="AJ20"/>
      <c r="AK20"/>
      <c r="AL20"/>
      <c r="AM20"/>
      <c r="AN20"/>
      <c r="AO20"/>
      <c r="AP20"/>
      <c r="AQ20"/>
      <c r="AR20"/>
      <c r="AS20"/>
    </row>
    <row r="21" spans="1:90" x14ac:dyDescent="0.25">
      <c r="L21" s="2"/>
      <c r="AJ21"/>
      <c r="AK21"/>
      <c r="AL21"/>
      <c r="AM21"/>
      <c r="AN21"/>
      <c r="AO21"/>
      <c r="AP21"/>
      <c r="AQ21"/>
      <c r="AR21"/>
      <c r="AS21"/>
    </row>
    <row r="22" spans="1:90" x14ac:dyDescent="0.25">
      <c r="L22" s="2"/>
      <c r="M22" s="58"/>
      <c r="N22" s="58"/>
      <c r="R22" s="58"/>
      <c r="AJ22"/>
      <c r="AK22"/>
      <c r="AL22"/>
      <c r="AM22"/>
      <c r="AN22"/>
      <c r="AO22"/>
      <c r="AP22"/>
      <c r="AQ22"/>
      <c r="AR22"/>
      <c r="AS22"/>
    </row>
    <row r="23" spans="1:90" x14ac:dyDescent="0.25">
      <c r="L23" s="2"/>
      <c r="M23" s="58"/>
      <c r="N23" s="58"/>
      <c r="R23" s="58"/>
      <c r="AJ23"/>
      <c r="AK23"/>
      <c r="AL23"/>
      <c r="AM23"/>
      <c r="AN23"/>
      <c r="AO23"/>
      <c r="AP23"/>
      <c r="AQ23"/>
      <c r="AR23"/>
      <c r="AS23"/>
    </row>
    <row r="24" spans="1:90" x14ac:dyDescent="0.25">
      <c r="J24" s="147"/>
      <c r="L24" s="2"/>
      <c r="M24" s="58"/>
      <c r="N24" s="58"/>
      <c r="R24" s="58"/>
      <c r="AJ24"/>
      <c r="AK24"/>
      <c r="AL24"/>
      <c r="AM24"/>
      <c r="AN24"/>
      <c r="AO24"/>
      <c r="AP24"/>
      <c r="AQ24"/>
      <c r="AR24"/>
      <c r="AS24"/>
    </row>
    <row r="25" spans="1:90" x14ac:dyDescent="0.25">
      <c r="J25" s="2"/>
      <c r="AJ25"/>
      <c r="AK25"/>
      <c r="AL25"/>
      <c r="AM25"/>
      <c r="AN25"/>
      <c r="AO25"/>
      <c r="AP25"/>
      <c r="AQ25"/>
      <c r="AR25"/>
      <c r="AS25"/>
    </row>
    <row r="26" spans="1:90" x14ac:dyDescent="0.25">
      <c r="AJ26"/>
      <c r="AK26"/>
      <c r="AL26"/>
      <c r="AM26"/>
      <c r="AN26"/>
      <c r="AO26"/>
      <c r="AP26"/>
      <c r="AQ26"/>
      <c r="AR26"/>
      <c r="AS26"/>
    </row>
    <row r="27" spans="1:90" x14ac:dyDescent="0.25">
      <c r="J27" s="2"/>
      <c r="K27"/>
      <c r="AJ27"/>
      <c r="AK27"/>
      <c r="AL27"/>
      <c r="AM27"/>
      <c r="AN27"/>
      <c r="AO27"/>
      <c r="AP27"/>
      <c r="AQ27"/>
      <c r="AR27"/>
      <c r="AS27"/>
    </row>
    <row r="28" spans="1:90" x14ac:dyDescent="0.25">
      <c r="J28" s="2"/>
      <c r="K28"/>
      <c r="AJ28"/>
      <c r="AK28"/>
      <c r="AL28"/>
      <c r="AM28"/>
      <c r="AN28"/>
      <c r="AO28"/>
      <c r="AP28"/>
      <c r="AQ28"/>
      <c r="AR28"/>
      <c r="AS28"/>
    </row>
    <row r="29" spans="1:90" x14ac:dyDescent="0.25">
      <c r="AJ29"/>
      <c r="AK29"/>
      <c r="AL29"/>
      <c r="AM29"/>
      <c r="AN29"/>
      <c r="AO29"/>
      <c r="AP29"/>
      <c r="AQ29"/>
      <c r="AR29"/>
      <c r="AS29"/>
    </row>
  </sheetData>
  <mergeCells count="31">
    <mergeCell ref="Z1:AB1"/>
    <mergeCell ref="AC1:AE1"/>
    <mergeCell ref="W3:Y3"/>
    <mergeCell ref="S1:T1"/>
    <mergeCell ref="U1:V1"/>
    <mergeCell ref="W1:Y1"/>
    <mergeCell ref="S3:T3"/>
    <mergeCell ref="U3:V3"/>
    <mergeCell ref="Z3:AB3"/>
    <mergeCell ref="AC3:AE3"/>
    <mergeCell ref="S2:T2"/>
    <mergeCell ref="U2:V2"/>
    <mergeCell ref="W2:Y2"/>
    <mergeCell ref="Z2:AB2"/>
    <mergeCell ref="AC2:AE2"/>
    <mergeCell ref="Q1:R1"/>
    <mergeCell ref="I1:K1"/>
    <mergeCell ref="L1:M1"/>
    <mergeCell ref="E3:F3"/>
    <mergeCell ref="I3:K3"/>
    <mergeCell ref="B1:F1"/>
    <mergeCell ref="O1:P1"/>
    <mergeCell ref="O3:P3"/>
    <mergeCell ref="L3:M3"/>
    <mergeCell ref="Q3:R3"/>
    <mergeCell ref="B2:F2"/>
    <mergeCell ref="I2:K2"/>
    <mergeCell ref="L2:M2"/>
    <mergeCell ref="O2:P2"/>
    <mergeCell ref="Q2:R2"/>
    <mergeCell ref="G1:H1"/>
  </mergeCells>
  <phoneticPr fontId="2" type="noConversion"/>
  <pageMargins left="0.23622047244094491" right="0.19685039370078741" top="1.299212598425197" bottom="0.98425196850393704" header="0.51181102362204722" footer="0.51181102362204722"/>
  <pageSetup paperSize="9" scale="51" orientation="landscape" r:id="rId1"/>
  <headerFooter alignWithMargins="0">
    <oddHeader>&amp;CDiabetic Retinopathy Screening - &amp;A</oddHeader>
    <oddFooter>&amp;C&amp;Z&amp;F</oddFooter>
  </headerFooter>
  <ignoredErrors>
    <ignoredError sqref="K19 P19 R19 T19 V19 Y19 AB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1"/>
  <sheetViews>
    <sheetView workbookViewId="0">
      <selection activeCell="X40" sqref="X40"/>
    </sheetView>
  </sheetViews>
  <sheetFormatPr defaultRowHeight="12.5" x14ac:dyDescent="0.25"/>
  <cols>
    <col min="1" max="1" width="25.7265625" customWidth="1"/>
    <col min="2" max="2" width="10.26953125" hidden="1" customWidth="1"/>
    <col min="3" max="3" width="10.54296875" hidden="1" customWidth="1"/>
    <col min="4" max="4" width="11.54296875" hidden="1" customWidth="1"/>
    <col min="5" max="6" width="9.26953125" hidden="1" customWidth="1"/>
    <col min="7" max="7" width="9.453125" customWidth="1"/>
    <col min="8" max="9" width="9.453125" hidden="1" customWidth="1"/>
    <col min="10" max="10" width="9.453125" style="2" hidden="1" customWidth="1"/>
    <col min="11" max="12" width="9.453125" hidden="1" customWidth="1"/>
    <col min="13" max="13" width="9.453125" style="2" hidden="1" customWidth="1"/>
    <col min="14" max="15" width="9.453125" hidden="1" customWidth="1"/>
    <col min="16" max="16" width="9.453125" style="2" hidden="1" customWidth="1"/>
    <col min="17" max="20" width="9.453125" customWidth="1"/>
    <col min="21" max="21" width="9.453125" style="2" customWidth="1"/>
    <col min="22" max="42" width="9.26953125" style="9"/>
  </cols>
  <sheetData>
    <row r="1" spans="1:42" ht="39" customHeight="1" thickBot="1" x14ac:dyDescent="0.3">
      <c r="B1" s="3" t="s">
        <v>0</v>
      </c>
      <c r="C1" s="4"/>
      <c r="D1" s="4"/>
      <c r="E1" s="4"/>
      <c r="F1" s="4"/>
      <c r="G1" s="27"/>
      <c r="H1" s="307" t="s">
        <v>32</v>
      </c>
      <c r="I1" s="308"/>
      <c r="J1" s="309"/>
      <c r="K1" s="292" t="s">
        <v>43</v>
      </c>
      <c r="L1" s="277"/>
      <c r="M1" s="278"/>
      <c r="N1" s="292" t="s">
        <v>36</v>
      </c>
      <c r="O1" s="277"/>
      <c r="P1" s="278"/>
      <c r="Q1" s="292" t="s">
        <v>44</v>
      </c>
      <c r="R1" s="277"/>
      <c r="S1" s="278"/>
      <c r="T1" s="292" t="s">
        <v>42</v>
      </c>
      <c r="U1" s="278"/>
    </row>
    <row r="2" spans="1:42" ht="39" customHeight="1" thickBot="1" x14ac:dyDescent="0.3">
      <c r="A2" s="313" t="s">
        <v>103</v>
      </c>
      <c r="B2" s="313"/>
      <c r="C2" s="313"/>
      <c r="D2" s="313"/>
      <c r="E2" s="313"/>
      <c r="F2" s="313"/>
      <c r="G2" s="313"/>
      <c r="H2" s="62"/>
      <c r="I2" s="62"/>
      <c r="J2" s="199"/>
      <c r="K2" s="201"/>
      <c r="L2" s="200"/>
      <c r="M2" s="201"/>
      <c r="N2" s="201"/>
      <c r="O2" s="200"/>
      <c r="P2" s="199"/>
      <c r="Q2" s="310" t="s">
        <v>109</v>
      </c>
      <c r="R2" s="311"/>
      <c r="S2" s="311"/>
      <c r="T2" s="311"/>
      <c r="U2" s="312"/>
      <c r="AP2"/>
    </row>
    <row r="3" spans="1:42" s="23" customFormat="1" ht="76.75" customHeight="1" thickBot="1" x14ac:dyDescent="0.35">
      <c r="A3" s="314" t="s">
        <v>110</v>
      </c>
      <c r="B3" s="315"/>
      <c r="C3" s="315"/>
      <c r="D3" s="315"/>
      <c r="E3" s="315"/>
      <c r="F3" s="315"/>
      <c r="G3" s="316"/>
      <c r="H3" s="320" t="s">
        <v>89</v>
      </c>
      <c r="I3" s="321"/>
      <c r="J3" s="321"/>
      <c r="K3" s="28"/>
      <c r="L3" s="29"/>
      <c r="M3" s="30"/>
      <c r="N3" s="29"/>
      <c r="O3" s="29"/>
      <c r="P3" s="30"/>
      <c r="Q3" s="317" t="s">
        <v>111</v>
      </c>
      <c r="R3" s="318"/>
      <c r="S3" s="318"/>
      <c r="T3" s="318"/>
      <c r="U3" s="319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s="37" customFormat="1" ht="132.75" customHeight="1" thickBot="1" x14ac:dyDescent="0.3">
      <c r="A4" s="125" t="s">
        <v>18</v>
      </c>
      <c r="B4" s="50" t="s">
        <v>1</v>
      </c>
      <c r="C4" s="126" t="s">
        <v>14</v>
      </c>
      <c r="D4" s="126" t="s">
        <v>19</v>
      </c>
      <c r="E4" s="126" t="s">
        <v>15</v>
      </c>
      <c r="F4" s="127" t="s">
        <v>16</v>
      </c>
      <c r="G4" s="34" t="s">
        <v>41</v>
      </c>
      <c r="H4" s="34" t="s">
        <v>33</v>
      </c>
      <c r="I4" s="35" t="s">
        <v>58</v>
      </c>
      <c r="J4" s="33" t="s">
        <v>67</v>
      </c>
      <c r="K4" s="34" t="s">
        <v>34</v>
      </c>
      <c r="L4" s="35" t="s">
        <v>35</v>
      </c>
      <c r="M4" s="33" t="s">
        <v>68</v>
      </c>
      <c r="N4" s="34" t="s">
        <v>37</v>
      </c>
      <c r="O4" s="35" t="s">
        <v>82</v>
      </c>
      <c r="P4" s="33" t="s">
        <v>69</v>
      </c>
      <c r="Q4" s="34" t="s">
        <v>38</v>
      </c>
      <c r="R4" s="35" t="s">
        <v>39</v>
      </c>
      <c r="S4" s="98" t="s">
        <v>40</v>
      </c>
      <c r="T4" s="34" t="s">
        <v>81</v>
      </c>
      <c r="U4" s="33" t="s">
        <v>70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ht="15.75" customHeight="1" x14ac:dyDescent="0.3">
      <c r="A5" s="128" t="s">
        <v>20</v>
      </c>
      <c r="B5" s="129">
        <v>20730</v>
      </c>
      <c r="C5" s="130">
        <v>1531</v>
      </c>
      <c r="D5" s="130">
        <v>1400</v>
      </c>
      <c r="E5" s="130">
        <v>11</v>
      </c>
      <c r="F5" s="131">
        <v>17810</v>
      </c>
      <c r="G5" s="222">
        <v>15806</v>
      </c>
      <c r="H5" s="223">
        <v>13384</v>
      </c>
      <c r="I5" s="223">
        <v>641</v>
      </c>
      <c r="J5" s="123">
        <f>I5/H5</f>
        <v>4.789300657501494E-2</v>
      </c>
      <c r="K5" s="223">
        <v>2313</v>
      </c>
      <c r="L5" s="223">
        <v>91</v>
      </c>
      <c r="M5" s="123">
        <f>L5/K5</f>
        <v>3.9342844790315606E-2</v>
      </c>
      <c r="N5" s="223">
        <v>15697</v>
      </c>
      <c r="O5" s="223">
        <v>732</v>
      </c>
      <c r="P5" s="123">
        <f t="shared" ref="P5:P18" si="0">O5/N5</f>
        <v>4.6633114607886855E-2</v>
      </c>
      <c r="Q5" s="222">
        <v>92</v>
      </c>
      <c r="R5" s="222">
        <v>2</v>
      </c>
      <c r="S5" s="222">
        <v>1</v>
      </c>
      <c r="T5" s="224">
        <v>15799</v>
      </c>
      <c r="U5" s="191">
        <f>T5/G5</f>
        <v>0.99955713020372006</v>
      </c>
    </row>
    <row r="6" spans="1:42" ht="15.75" customHeight="1" x14ac:dyDescent="0.3">
      <c r="A6" s="31" t="s">
        <v>2</v>
      </c>
      <c r="B6" s="5">
        <v>6405</v>
      </c>
      <c r="C6" s="6">
        <v>787</v>
      </c>
      <c r="D6" s="6">
        <v>1054</v>
      </c>
      <c r="E6" s="6">
        <v>59</v>
      </c>
      <c r="F6" s="7">
        <v>4623</v>
      </c>
      <c r="G6" s="225">
        <v>4438</v>
      </c>
      <c r="H6" s="226">
        <v>3230</v>
      </c>
      <c r="I6" s="226">
        <v>119</v>
      </c>
      <c r="J6" s="116">
        <f t="shared" ref="J6:J19" si="1">I6/H6</f>
        <v>3.6842105263157891E-2</v>
      </c>
      <c r="K6" s="226">
        <v>288</v>
      </c>
      <c r="L6" s="226">
        <v>0</v>
      </c>
      <c r="M6" s="116">
        <f t="shared" ref="M6:M19" si="2">L6/K6</f>
        <v>0</v>
      </c>
      <c r="N6" s="226">
        <v>3518</v>
      </c>
      <c r="O6" s="226">
        <v>119</v>
      </c>
      <c r="P6" s="116">
        <f t="shared" si="0"/>
        <v>3.3826037521318929E-2</v>
      </c>
      <c r="Q6" s="225">
        <v>106</v>
      </c>
      <c r="R6" s="225">
        <v>3</v>
      </c>
      <c r="S6" s="225">
        <v>2</v>
      </c>
      <c r="T6" s="227">
        <v>4416</v>
      </c>
      <c r="U6" s="192">
        <f t="shared" ref="U6:U19" si="3">T6/G6</f>
        <v>0.99504281207751244</v>
      </c>
    </row>
    <row r="7" spans="1:42" ht="15.75" customHeight="1" x14ac:dyDescent="0.3">
      <c r="A7" s="32" t="s">
        <v>3</v>
      </c>
      <c r="B7" s="5">
        <v>8329</v>
      </c>
      <c r="C7" s="6">
        <v>849</v>
      </c>
      <c r="D7" s="6">
        <v>465</v>
      </c>
      <c r="E7" s="6">
        <v>146</v>
      </c>
      <c r="F7" s="7">
        <v>7161</v>
      </c>
      <c r="G7" s="225">
        <v>7536</v>
      </c>
      <c r="H7" s="226">
        <v>6692</v>
      </c>
      <c r="I7" s="226">
        <v>86</v>
      </c>
      <c r="J7" s="116">
        <f t="shared" si="1"/>
        <v>1.2851165570830842E-2</v>
      </c>
      <c r="K7" s="226">
        <v>97</v>
      </c>
      <c r="L7" s="226">
        <v>10</v>
      </c>
      <c r="M7" s="116">
        <f t="shared" si="2"/>
        <v>0.10309278350515463</v>
      </c>
      <c r="N7" s="226">
        <v>6789</v>
      </c>
      <c r="O7" s="226">
        <v>96</v>
      </c>
      <c r="P7" s="116">
        <f t="shared" si="0"/>
        <v>1.4140521431727796E-2</v>
      </c>
      <c r="Q7" s="225">
        <v>17</v>
      </c>
      <c r="R7" s="225">
        <v>1</v>
      </c>
      <c r="S7" s="225">
        <v>1</v>
      </c>
      <c r="T7" s="227">
        <v>7536</v>
      </c>
      <c r="U7" s="192">
        <f t="shared" si="3"/>
        <v>1</v>
      </c>
    </row>
    <row r="8" spans="1:42" ht="15.75" customHeight="1" x14ac:dyDescent="0.3">
      <c r="A8" s="31" t="s">
        <v>4</v>
      </c>
      <c r="B8" s="5">
        <v>18157</v>
      </c>
      <c r="C8" s="6">
        <v>2176</v>
      </c>
      <c r="D8" s="6">
        <v>514</v>
      </c>
      <c r="E8" s="6">
        <v>446</v>
      </c>
      <c r="F8" s="7">
        <v>15913</v>
      </c>
      <c r="G8" s="225">
        <v>14674</v>
      </c>
      <c r="H8" s="226">
        <v>11234</v>
      </c>
      <c r="I8" s="226">
        <v>460</v>
      </c>
      <c r="J8" s="116">
        <f t="shared" si="1"/>
        <v>4.094712479971515E-2</v>
      </c>
      <c r="K8" s="226">
        <v>1748</v>
      </c>
      <c r="L8" s="226">
        <v>41</v>
      </c>
      <c r="M8" s="116">
        <f t="shared" si="2"/>
        <v>2.345537757437071E-2</v>
      </c>
      <c r="N8" s="226">
        <v>12982</v>
      </c>
      <c r="O8" s="226">
        <v>501</v>
      </c>
      <c r="P8" s="116">
        <f t="shared" si="0"/>
        <v>3.8591896472038208E-2</v>
      </c>
      <c r="Q8" s="225">
        <v>198</v>
      </c>
      <c r="R8" s="225">
        <v>5</v>
      </c>
      <c r="S8" s="225">
        <v>4</v>
      </c>
      <c r="T8" s="227">
        <v>14664</v>
      </c>
      <c r="U8" s="192">
        <f t="shared" si="3"/>
        <v>0.99931852255690334</v>
      </c>
    </row>
    <row r="9" spans="1:42" ht="15.75" customHeight="1" x14ac:dyDescent="0.3">
      <c r="A9" s="31" t="s">
        <v>5</v>
      </c>
      <c r="B9" s="5">
        <v>14036</v>
      </c>
      <c r="C9" s="6">
        <v>1064</v>
      </c>
      <c r="D9" s="6">
        <v>321</v>
      </c>
      <c r="E9" s="6">
        <v>252</v>
      </c>
      <c r="F9" s="7">
        <v>12903</v>
      </c>
      <c r="G9" s="225">
        <v>11091</v>
      </c>
      <c r="H9" s="226">
        <v>9386</v>
      </c>
      <c r="I9" s="226">
        <v>363</v>
      </c>
      <c r="J9" s="116">
        <f t="shared" si="1"/>
        <v>3.8674621777114851E-2</v>
      </c>
      <c r="K9" s="226">
        <v>1643</v>
      </c>
      <c r="L9" s="226">
        <v>36</v>
      </c>
      <c r="M9" s="116">
        <f t="shared" si="2"/>
        <v>2.1911138161898967E-2</v>
      </c>
      <c r="N9" s="226">
        <v>11029</v>
      </c>
      <c r="O9" s="226">
        <v>399</v>
      </c>
      <c r="P9" s="116">
        <f t="shared" si="0"/>
        <v>3.6177350621089857E-2</v>
      </c>
      <c r="Q9" s="225">
        <v>203</v>
      </c>
      <c r="R9" s="225">
        <v>5</v>
      </c>
      <c r="S9" s="225">
        <v>3</v>
      </c>
      <c r="T9" s="227">
        <v>10942</v>
      </c>
      <c r="U9" s="192">
        <f t="shared" si="3"/>
        <v>0.98656568388783694</v>
      </c>
    </row>
    <row r="10" spans="1:42" s="11" customFormat="1" ht="15.75" customHeight="1" x14ac:dyDescent="0.3">
      <c r="A10" s="65" t="s">
        <v>6</v>
      </c>
      <c r="B10" s="67">
        <v>25009</v>
      </c>
      <c r="C10" s="6">
        <v>1379</v>
      </c>
      <c r="D10" s="6">
        <v>1662</v>
      </c>
      <c r="E10" s="6">
        <v>189</v>
      </c>
      <c r="F10" s="7">
        <v>22157</v>
      </c>
      <c r="G10" s="225">
        <v>19946</v>
      </c>
      <c r="H10" s="226">
        <v>17281</v>
      </c>
      <c r="I10" s="226">
        <v>541</v>
      </c>
      <c r="J10" s="228">
        <f t="shared" si="1"/>
        <v>3.1306058677159888E-2</v>
      </c>
      <c r="K10" s="226">
        <v>894</v>
      </c>
      <c r="L10" s="226">
        <v>28</v>
      </c>
      <c r="M10" s="228">
        <f t="shared" si="2"/>
        <v>3.1319910514541388E-2</v>
      </c>
      <c r="N10" s="226">
        <v>18175</v>
      </c>
      <c r="O10" s="226">
        <v>569</v>
      </c>
      <c r="P10" s="228">
        <f t="shared" si="0"/>
        <v>3.1306740027510313E-2</v>
      </c>
      <c r="Q10" s="225">
        <v>131</v>
      </c>
      <c r="R10" s="225">
        <v>8</v>
      </c>
      <c r="S10" s="225">
        <v>7</v>
      </c>
      <c r="T10" s="227">
        <v>19844</v>
      </c>
      <c r="U10" s="193">
        <f t="shared" si="3"/>
        <v>0.99488619272034495</v>
      </c>
      <c r="V10" s="9"/>
      <c r="W10" s="9"/>
      <c r="X10" s="9"/>
      <c r="Y10" s="9"/>
      <c r="Z10" s="5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5.75" customHeight="1" x14ac:dyDescent="0.3">
      <c r="A11" s="31" t="s">
        <v>7</v>
      </c>
      <c r="B11" s="5">
        <v>56749</v>
      </c>
      <c r="C11" s="6">
        <v>5856</v>
      </c>
      <c r="D11" s="6">
        <v>1744</v>
      </c>
      <c r="E11" s="6">
        <v>1611</v>
      </c>
      <c r="F11" s="7">
        <v>50760</v>
      </c>
      <c r="G11" s="225">
        <v>41691</v>
      </c>
      <c r="H11" s="226">
        <v>36982</v>
      </c>
      <c r="I11" s="226">
        <v>958</v>
      </c>
      <c r="J11" s="116">
        <f t="shared" si="1"/>
        <v>2.5904494078200207E-2</v>
      </c>
      <c r="K11" s="226">
        <v>2764</v>
      </c>
      <c r="L11" s="226">
        <v>10</v>
      </c>
      <c r="M11" s="116">
        <f t="shared" si="2"/>
        <v>3.6179450072358899E-3</v>
      </c>
      <c r="N11" s="226">
        <v>39746</v>
      </c>
      <c r="O11" s="226">
        <v>968</v>
      </c>
      <c r="P11" s="116">
        <f t="shared" si="0"/>
        <v>2.4354652040456903E-2</v>
      </c>
      <c r="Q11" s="225">
        <v>96</v>
      </c>
      <c r="R11" s="225">
        <v>5</v>
      </c>
      <c r="S11" s="225">
        <v>3</v>
      </c>
      <c r="T11" s="227">
        <v>39614</v>
      </c>
      <c r="U11" s="192">
        <f t="shared" si="3"/>
        <v>0.95018109424096331</v>
      </c>
      <c r="X11" s="59"/>
      <c r="Z11" s="59"/>
    </row>
    <row r="12" spans="1:42" ht="15.75" customHeight="1" x14ac:dyDescent="0.3">
      <c r="A12" s="31" t="s">
        <v>8</v>
      </c>
      <c r="B12" s="5">
        <v>14651</v>
      </c>
      <c r="C12" s="6">
        <v>1614</v>
      </c>
      <c r="D12" s="6">
        <v>608</v>
      </c>
      <c r="E12" s="6">
        <v>129</v>
      </c>
      <c r="F12" s="7">
        <v>12558</v>
      </c>
      <c r="G12" s="225">
        <v>12100</v>
      </c>
      <c r="H12" s="226">
        <v>8786</v>
      </c>
      <c r="I12" s="226">
        <v>484</v>
      </c>
      <c r="J12" s="116">
        <f t="shared" si="1"/>
        <v>5.5087639426360122E-2</v>
      </c>
      <c r="K12" s="226">
        <v>639</v>
      </c>
      <c r="L12" s="226">
        <v>36</v>
      </c>
      <c r="M12" s="116">
        <f t="shared" si="2"/>
        <v>5.6338028169014086E-2</v>
      </c>
      <c r="N12" s="226">
        <v>9425</v>
      </c>
      <c r="O12" s="226">
        <v>520</v>
      </c>
      <c r="P12" s="116">
        <f t="shared" si="0"/>
        <v>5.5172413793103448E-2</v>
      </c>
      <c r="Q12" s="225">
        <v>64</v>
      </c>
      <c r="R12" s="225">
        <v>7</v>
      </c>
      <c r="S12" s="225">
        <v>6</v>
      </c>
      <c r="T12" s="227">
        <v>11997</v>
      </c>
      <c r="U12" s="192">
        <f t="shared" si="3"/>
        <v>0.99148760330578511</v>
      </c>
    </row>
    <row r="13" spans="1:42" ht="15.75" customHeight="1" x14ac:dyDescent="0.3">
      <c r="A13" s="31" t="s">
        <v>9</v>
      </c>
      <c r="B13" s="5">
        <v>28536</v>
      </c>
      <c r="C13" s="6">
        <v>2320</v>
      </c>
      <c r="D13" s="6">
        <v>1113</v>
      </c>
      <c r="E13" s="6">
        <v>653</v>
      </c>
      <c r="F13" s="7">
        <v>25756</v>
      </c>
      <c r="G13" s="225">
        <v>25552</v>
      </c>
      <c r="H13" s="226">
        <v>18199</v>
      </c>
      <c r="I13" s="226">
        <v>760</v>
      </c>
      <c r="J13" s="116">
        <f t="shared" si="1"/>
        <v>4.1760536293202921E-2</v>
      </c>
      <c r="K13" s="226">
        <v>1371</v>
      </c>
      <c r="L13" s="226">
        <v>79</v>
      </c>
      <c r="M13" s="116">
        <f t="shared" si="2"/>
        <v>5.7622173595915392E-2</v>
      </c>
      <c r="N13" s="226">
        <v>19570</v>
      </c>
      <c r="O13" s="226">
        <v>839</v>
      </c>
      <c r="P13" s="116">
        <f t="shared" si="0"/>
        <v>4.2871742462953499E-2</v>
      </c>
      <c r="Q13" s="225">
        <v>59</v>
      </c>
      <c r="R13" s="225">
        <v>4</v>
      </c>
      <c r="S13" s="225">
        <v>2</v>
      </c>
      <c r="T13" s="227">
        <v>25510</v>
      </c>
      <c r="U13" s="192">
        <f t="shared" si="3"/>
        <v>0.99835629304946771</v>
      </c>
    </row>
    <row r="14" spans="1:42" ht="15.75" customHeight="1" x14ac:dyDescent="0.3">
      <c r="A14" s="31" t="s">
        <v>10</v>
      </c>
      <c r="B14" s="5">
        <v>36403</v>
      </c>
      <c r="C14" s="6">
        <v>3630</v>
      </c>
      <c r="D14" s="6">
        <v>3398</v>
      </c>
      <c r="E14" s="6">
        <v>483</v>
      </c>
      <c r="F14" s="7">
        <v>29858</v>
      </c>
      <c r="G14" s="225">
        <v>27032</v>
      </c>
      <c r="H14" s="226">
        <v>22301</v>
      </c>
      <c r="I14" s="226">
        <v>807</v>
      </c>
      <c r="J14" s="116">
        <f t="shared" si="1"/>
        <v>3.6186718084390834E-2</v>
      </c>
      <c r="K14" s="226">
        <v>3912</v>
      </c>
      <c r="L14" s="226">
        <v>74</v>
      </c>
      <c r="M14" s="116">
        <f t="shared" si="2"/>
        <v>1.8916155419222903E-2</v>
      </c>
      <c r="N14" s="226">
        <v>26213</v>
      </c>
      <c r="O14" s="226">
        <v>881</v>
      </c>
      <c r="P14" s="116">
        <f t="shared" si="0"/>
        <v>3.3609277839240073E-2</v>
      </c>
      <c r="Q14" s="225">
        <v>24</v>
      </c>
      <c r="R14" s="225">
        <v>3</v>
      </c>
      <c r="S14" s="225">
        <v>2</v>
      </c>
      <c r="T14" s="227">
        <v>27033</v>
      </c>
      <c r="U14" s="192">
        <f t="shared" si="3"/>
        <v>1.0000369931932525</v>
      </c>
    </row>
    <row r="15" spans="1:42" ht="15.75" customHeight="1" x14ac:dyDescent="0.3">
      <c r="A15" s="31" t="s">
        <v>11</v>
      </c>
      <c r="B15" s="5">
        <v>972</v>
      </c>
      <c r="C15" s="6">
        <v>172</v>
      </c>
      <c r="D15" s="6">
        <v>49</v>
      </c>
      <c r="E15" s="6">
        <v>12</v>
      </c>
      <c r="F15" s="7">
        <v>763</v>
      </c>
      <c r="G15" s="225">
        <v>950</v>
      </c>
      <c r="H15" s="226">
        <v>677</v>
      </c>
      <c r="I15" s="226">
        <v>42</v>
      </c>
      <c r="J15" s="116">
        <f t="shared" si="1"/>
        <v>6.2038404726735601E-2</v>
      </c>
      <c r="K15" s="226">
        <v>1</v>
      </c>
      <c r="L15" s="226">
        <v>0</v>
      </c>
      <c r="M15" s="116">
        <f t="shared" si="2"/>
        <v>0</v>
      </c>
      <c r="N15" s="226">
        <v>678</v>
      </c>
      <c r="O15" s="226">
        <v>42</v>
      </c>
      <c r="P15" s="116">
        <f t="shared" si="0"/>
        <v>6.1946902654867256E-2</v>
      </c>
      <c r="Q15" s="225">
        <v>34</v>
      </c>
      <c r="R15" s="225">
        <v>6</v>
      </c>
      <c r="S15" s="225">
        <v>4</v>
      </c>
      <c r="T15" s="227">
        <v>912</v>
      </c>
      <c r="U15" s="192">
        <f t="shared" si="3"/>
        <v>0.96</v>
      </c>
    </row>
    <row r="16" spans="1:42" ht="15.75" customHeight="1" x14ac:dyDescent="0.3">
      <c r="A16" s="31" t="s">
        <v>12</v>
      </c>
      <c r="B16" s="5">
        <v>989</v>
      </c>
      <c r="C16" s="6">
        <v>91</v>
      </c>
      <c r="D16" s="6">
        <v>41</v>
      </c>
      <c r="E16" s="6">
        <v>36</v>
      </c>
      <c r="F16" s="7">
        <v>893</v>
      </c>
      <c r="G16" s="225">
        <v>780</v>
      </c>
      <c r="H16" s="226">
        <v>794</v>
      </c>
      <c r="I16" s="226">
        <v>29</v>
      </c>
      <c r="J16" s="116">
        <f t="shared" si="1"/>
        <v>3.6523929471032744E-2</v>
      </c>
      <c r="K16" s="226">
        <v>62</v>
      </c>
      <c r="L16" s="226">
        <v>0</v>
      </c>
      <c r="M16" s="116">
        <f t="shared" si="2"/>
        <v>0</v>
      </c>
      <c r="N16" s="226">
        <v>856</v>
      </c>
      <c r="O16" s="226">
        <v>29</v>
      </c>
      <c r="P16" s="116">
        <f t="shared" si="0"/>
        <v>3.3878504672897193E-2</v>
      </c>
      <c r="Q16" s="225">
        <v>180</v>
      </c>
      <c r="R16" s="225">
        <v>9</v>
      </c>
      <c r="S16" s="225">
        <v>7</v>
      </c>
      <c r="T16" s="227">
        <v>744</v>
      </c>
      <c r="U16" s="192">
        <f t="shared" si="3"/>
        <v>0.9538461538461539</v>
      </c>
    </row>
    <row r="17" spans="1:42" ht="15.75" customHeight="1" x14ac:dyDescent="0.3">
      <c r="A17" s="31" t="s">
        <v>13</v>
      </c>
      <c r="B17" s="5">
        <v>20332</v>
      </c>
      <c r="C17" s="6">
        <v>3193</v>
      </c>
      <c r="D17" s="6">
        <v>962</v>
      </c>
      <c r="E17" s="6">
        <v>186</v>
      </c>
      <c r="F17" s="7">
        <v>16363</v>
      </c>
      <c r="G17" s="225">
        <v>16136</v>
      </c>
      <c r="H17" s="226">
        <v>12434</v>
      </c>
      <c r="I17" s="226">
        <v>610</v>
      </c>
      <c r="J17" s="116">
        <f t="shared" si="1"/>
        <v>4.905903168730899E-2</v>
      </c>
      <c r="K17" s="226">
        <v>1274</v>
      </c>
      <c r="L17" s="226">
        <v>31</v>
      </c>
      <c r="M17" s="116">
        <f t="shared" si="2"/>
        <v>2.4332810047095761E-2</v>
      </c>
      <c r="N17" s="226">
        <v>13708</v>
      </c>
      <c r="O17" s="226">
        <v>641</v>
      </c>
      <c r="P17" s="116">
        <f t="shared" si="0"/>
        <v>4.6761015465421649E-2</v>
      </c>
      <c r="Q17" s="225">
        <v>171</v>
      </c>
      <c r="R17" s="225">
        <v>7</v>
      </c>
      <c r="S17" s="225">
        <v>5</v>
      </c>
      <c r="T17" s="227">
        <v>15726</v>
      </c>
      <c r="U17" s="192">
        <f t="shared" si="3"/>
        <v>0.97459097669806638</v>
      </c>
    </row>
    <row r="18" spans="1:42" ht="15.75" customHeight="1" thickBot="1" x14ac:dyDescent="0.35">
      <c r="A18" s="91" t="s">
        <v>21</v>
      </c>
      <c r="B18" s="95">
        <v>1236</v>
      </c>
      <c r="C18" s="96">
        <v>134</v>
      </c>
      <c r="D18" s="96">
        <v>54</v>
      </c>
      <c r="E18" s="96">
        <v>16</v>
      </c>
      <c r="F18" s="97">
        <v>1064</v>
      </c>
      <c r="G18" s="229">
        <v>929</v>
      </c>
      <c r="H18" s="230">
        <v>834</v>
      </c>
      <c r="I18" s="230">
        <v>73</v>
      </c>
      <c r="J18" s="196">
        <f t="shared" si="1"/>
        <v>8.7529976019184649E-2</v>
      </c>
      <c r="K18" s="230">
        <v>131</v>
      </c>
      <c r="L18" s="230">
        <v>1</v>
      </c>
      <c r="M18" s="196">
        <f t="shared" si="2"/>
        <v>7.6335877862595417E-3</v>
      </c>
      <c r="N18" s="230">
        <v>965</v>
      </c>
      <c r="O18" s="230">
        <v>74</v>
      </c>
      <c r="P18" s="196">
        <f t="shared" si="0"/>
        <v>7.6683937823834203E-2</v>
      </c>
      <c r="Q18" s="229">
        <v>23</v>
      </c>
      <c r="R18" s="229">
        <v>5</v>
      </c>
      <c r="S18" s="229">
        <v>4</v>
      </c>
      <c r="T18" s="231">
        <v>928</v>
      </c>
      <c r="U18" s="194">
        <f t="shared" si="3"/>
        <v>0.99892357373519913</v>
      </c>
    </row>
    <row r="19" spans="1:42" s="234" customFormat="1" ht="15.75" customHeight="1" thickBot="1" x14ac:dyDescent="0.3">
      <c r="A19" s="132" t="s">
        <v>60</v>
      </c>
      <c r="B19" s="133">
        <v>252534</v>
      </c>
      <c r="C19" s="133">
        <v>24796</v>
      </c>
      <c r="D19" s="133">
        <v>13385</v>
      </c>
      <c r="E19" s="133">
        <v>4229</v>
      </c>
      <c r="F19" s="149">
        <v>218582</v>
      </c>
      <c r="G19" s="232">
        <f>SUM(G5:G18)</f>
        <v>198661</v>
      </c>
      <c r="H19" s="153">
        <f>SUM(H5:H18)</f>
        <v>162214</v>
      </c>
      <c r="I19" s="153">
        <f>SUM(I5:I18)</f>
        <v>5973</v>
      </c>
      <c r="J19" s="154">
        <f t="shared" si="1"/>
        <v>3.6821729320527206E-2</v>
      </c>
      <c r="K19" s="153">
        <f>SUM(K5:K18)</f>
        <v>17137</v>
      </c>
      <c r="L19" s="153">
        <f>SUM(L5:L18)</f>
        <v>437</v>
      </c>
      <c r="M19" s="154">
        <f t="shared" si="2"/>
        <v>2.5500379296259555E-2</v>
      </c>
      <c r="N19" s="153">
        <f>SUM(N5:N18)</f>
        <v>179351</v>
      </c>
      <c r="O19" s="153">
        <f>SUM(O5:O18)</f>
        <v>6410</v>
      </c>
      <c r="P19" s="154">
        <f>O19/N19</f>
        <v>3.5739973571376794E-2</v>
      </c>
      <c r="Q19" s="213">
        <f>MAX(Q5:Q18)</f>
        <v>203</v>
      </c>
      <c r="R19" s="233">
        <f>AVERAGE(R5:R18)</f>
        <v>5</v>
      </c>
      <c r="S19" s="233">
        <f>MEDIAN(S5:S18)</f>
        <v>3.5</v>
      </c>
      <c r="T19" s="215">
        <f>SUM(T5:T18)</f>
        <v>195665</v>
      </c>
      <c r="U19" s="83">
        <f t="shared" si="3"/>
        <v>0.98491903292543581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1" spans="1:42" ht="15.5" x14ac:dyDescent="0.35">
      <c r="Q21" s="21"/>
    </row>
  </sheetData>
  <mergeCells count="10">
    <mergeCell ref="Q2:U2"/>
    <mergeCell ref="A2:G2"/>
    <mergeCell ref="A3:G3"/>
    <mergeCell ref="Q3:U3"/>
    <mergeCell ref="H3:J3"/>
    <mergeCell ref="H1:J1"/>
    <mergeCell ref="K1:M1"/>
    <mergeCell ref="N1:P1"/>
    <mergeCell ref="Q1:S1"/>
    <mergeCell ref="T1:U1"/>
  </mergeCells>
  <phoneticPr fontId="2" type="noConversion"/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96" orientation="landscape" r:id="rId1"/>
  <headerFooter alignWithMargins="0">
    <oddHeader xml:space="preserve">&amp;CDiabetic Retinopathy Screening - &amp;A
</oddHeader>
    <oddFooter>&amp;C&amp;Z&amp;F&amp;R&amp;P/&amp;N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workbookViewId="0">
      <selection activeCell="U18" sqref="U18"/>
    </sheetView>
  </sheetViews>
  <sheetFormatPr defaultRowHeight="12.5" x14ac:dyDescent="0.25"/>
  <cols>
    <col min="1" max="1" width="21.7265625" customWidth="1"/>
    <col min="2" max="6" width="8" customWidth="1"/>
    <col min="7" max="7" width="9.26953125" customWidth="1"/>
    <col min="8" max="8" width="7.26953125" style="2" customWidth="1"/>
    <col min="9" max="9" width="9.26953125" customWidth="1"/>
    <col min="10" max="10" width="7.26953125" style="2" customWidth="1"/>
    <col min="11" max="11" width="9.26953125" customWidth="1"/>
    <col min="12" max="12" width="7.26953125" style="2" customWidth="1"/>
    <col min="13" max="14" width="9.26953125" customWidth="1"/>
    <col min="15" max="15" width="7.26953125" style="2" customWidth="1"/>
    <col min="16" max="16" width="9.26953125" customWidth="1"/>
    <col min="17" max="17" width="7.26953125" style="2" customWidth="1"/>
    <col min="18" max="43" width="9.26953125" style="9"/>
  </cols>
  <sheetData>
    <row r="1" spans="1:43" s="37" customFormat="1" ht="54" customHeight="1" thickBot="1" x14ac:dyDescent="0.3">
      <c r="A1" s="46"/>
      <c r="B1" s="292" t="s">
        <v>0</v>
      </c>
      <c r="C1" s="277"/>
      <c r="D1" s="277"/>
      <c r="E1" s="277"/>
      <c r="F1" s="278"/>
      <c r="G1" s="292" t="s">
        <v>57</v>
      </c>
      <c r="H1" s="277"/>
      <c r="I1" s="277"/>
      <c r="J1" s="278"/>
      <c r="K1" s="292" t="s">
        <v>29</v>
      </c>
      <c r="L1" s="278"/>
      <c r="M1" s="292" t="s">
        <v>30</v>
      </c>
      <c r="N1" s="277"/>
      <c r="O1" s="278"/>
      <c r="P1" s="292" t="s">
        <v>31</v>
      </c>
      <c r="Q1" s="278"/>
      <c r="R1" s="45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s="42" customFormat="1" ht="149.25" customHeight="1" thickBot="1" x14ac:dyDescent="0.3">
      <c r="A2" s="125" t="s">
        <v>18</v>
      </c>
      <c r="B2" s="155" t="s">
        <v>1</v>
      </c>
      <c r="C2" s="156" t="s">
        <v>14</v>
      </c>
      <c r="D2" s="156" t="s">
        <v>19</v>
      </c>
      <c r="E2" s="156" t="s">
        <v>15</v>
      </c>
      <c r="F2" s="157" t="s">
        <v>16</v>
      </c>
      <c r="G2" s="134" t="s">
        <v>83</v>
      </c>
      <c r="H2" s="33" t="s">
        <v>71</v>
      </c>
      <c r="I2" s="150" t="s">
        <v>85</v>
      </c>
      <c r="J2" s="33" t="s">
        <v>72</v>
      </c>
      <c r="K2" s="150" t="s">
        <v>84</v>
      </c>
      <c r="L2" s="33" t="s">
        <v>73</v>
      </c>
      <c r="M2" s="134" t="s">
        <v>27</v>
      </c>
      <c r="N2" s="150" t="s">
        <v>28</v>
      </c>
      <c r="O2" s="33" t="s">
        <v>74</v>
      </c>
      <c r="P2" s="150" t="s">
        <v>86</v>
      </c>
      <c r="Q2" s="33" t="s">
        <v>75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3" ht="15.75" customHeight="1" thickBot="1" x14ac:dyDescent="0.35">
      <c r="A3" s="128" t="s">
        <v>20</v>
      </c>
      <c r="B3" s="235">
        <f>('Summary Statistics KPI 0'!B10)</f>
        <v>25403</v>
      </c>
      <c r="C3" s="236">
        <f>('Summary Statistics KPI 0'!C10)</f>
        <v>1352</v>
      </c>
      <c r="D3" s="236">
        <f>('Summary Statistics KPI 0'!E10)</f>
        <v>2177</v>
      </c>
      <c r="E3" s="236">
        <f>('Summary Statistics KPI 0'!G10)</f>
        <v>19</v>
      </c>
      <c r="F3" s="237">
        <f>('Summary Statistics KPI 0'!I10)</f>
        <v>21893</v>
      </c>
      <c r="G3" s="204">
        <v>15223</v>
      </c>
      <c r="H3" s="121">
        <f>G3/F3</f>
        <v>0.69533640889782122</v>
      </c>
      <c r="I3" s="204">
        <v>14296</v>
      </c>
      <c r="J3" s="121">
        <f>I3/G3</f>
        <v>0.93910530118899038</v>
      </c>
      <c r="K3" s="204">
        <v>424</v>
      </c>
      <c r="L3" s="121">
        <f>K3/G3</f>
        <v>2.7852591473428365E-2</v>
      </c>
      <c r="M3" s="204">
        <v>240</v>
      </c>
      <c r="N3" s="85">
        <v>66</v>
      </c>
      <c r="O3" s="266">
        <f>(N3/M3)</f>
        <v>0.27500000000000002</v>
      </c>
      <c r="P3" s="204">
        <v>636</v>
      </c>
      <c r="Q3" s="121">
        <f>P3/G3</f>
        <v>4.177888721014255E-2</v>
      </c>
    </row>
    <row r="4" spans="1:43" ht="15.75" customHeight="1" thickBot="1" x14ac:dyDescent="0.35">
      <c r="A4" s="31" t="s">
        <v>2</v>
      </c>
      <c r="B4" s="238">
        <f>('Summary Statistics KPI 0'!B11)</f>
        <v>8264</v>
      </c>
      <c r="C4" s="239">
        <f>('Summary Statistics KPI 0'!C11)</f>
        <v>793</v>
      </c>
      <c r="D4" s="239">
        <f>('Summary Statistics KPI 0'!E11)</f>
        <v>1446</v>
      </c>
      <c r="E4" s="239">
        <f>('Summary Statistics KPI 0'!G11)</f>
        <v>62</v>
      </c>
      <c r="F4" s="240">
        <f>('Summary Statistics KPI 0'!I11)</f>
        <v>6087</v>
      </c>
      <c r="G4" s="206">
        <v>4261</v>
      </c>
      <c r="H4" s="8">
        <f t="shared" ref="H4:H17" si="0">G4/F4</f>
        <v>0.70001642845408252</v>
      </c>
      <c r="I4" s="206">
        <v>4124</v>
      </c>
      <c r="J4" s="8">
        <f t="shared" ref="J4:J16" si="1">I4/G4</f>
        <v>0.96784792302276457</v>
      </c>
      <c r="K4" s="206">
        <v>41</v>
      </c>
      <c r="L4" s="8">
        <f t="shared" ref="L4:L17" si="2">K4/G4</f>
        <v>9.6221544238441672E-3</v>
      </c>
      <c r="M4" s="206">
        <v>22</v>
      </c>
      <c r="N4" s="159">
        <v>13</v>
      </c>
      <c r="O4" s="266">
        <f t="shared" ref="O4:O16" si="3">(N4/M4)</f>
        <v>0.59090909090909094</v>
      </c>
      <c r="P4" s="206">
        <v>120</v>
      </c>
      <c r="Q4" s="8">
        <f t="shared" ref="Q4:Q17" si="4">P4/G4</f>
        <v>2.816240319173903E-2</v>
      </c>
    </row>
    <row r="5" spans="1:43" ht="15.75" customHeight="1" thickBot="1" x14ac:dyDescent="0.35">
      <c r="A5" s="31" t="s">
        <v>3</v>
      </c>
      <c r="B5" s="238">
        <f>('Summary Statistics KPI 0'!B12)</f>
        <v>10280</v>
      </c>
      <c r="C5" s="239">
        <f>('Summary Statistics KPI 0'!C12)</f>
        <v>1027</v>
      </c>
      <c r="D5" s="239">
        <f>('Summary Statistics KPI 0'!E12)</f>
        <v>950</v>
      </c>
      <c r="E5" s="239">
        <f>('Summary Statistics KPI 0'!G12)</f>
        <v>216</v>
      </c>
      <c r="F5" s="240">
        <f>('Summary Statistics KPI 0'!I12)</f>
        <v>8519</v>
      </c>
      <c r="G5" s="206">
        <v>7402</v>
      </c>
      <c r="H5" s="8">
        <f t="shared" si="0"/>
        <v>0.8688813240990727</v>
      </c>
      <c r="I5" s="206">
        <v>7082</v>
      </c>
      <c r="J5" s="8">
        <f t="shared" si="1"/>
        <v>0.95676844096190217</v>
      </c>
      <c r="K5" s="206">
        <v>107</v>
      </c>
      <c r="L5" s="8">
        <f t="shared" si="2"/>
        <v>1.4455552553363955E-2</v>
      </c>
      <c r="M5" s="206">
        <v>59</v>
      </c>
      <c r="N5" s="159">
        <v>32</v>
      </c>
      <c r="O5" s="266">
        <f t="shared" si="3"/>
        <v>0.5423728813559322</v>
      </c>
      <c r="P5" s="206">
        <v>275</v>
      </c>
      <c r="Q5" s="8">
        <f t="shared" si="4"/>
        <v>3.7152121048365308E-2</v>
      </c>
    </row>
    <row r="6" spans="1:43" ht="15.75" customHeight="1" thickBot="1" x14ac:dyDescent="0.35">
      <c r="A6" s="31" t="s">
        <v>4</v>
      </c>
      <c r="B6" s="238">
        <f>('Summary Statistics KPI 0'!B13)</f>
        <v>22252</v>
      </c>
      <c r="C6" s="239">
        <f>('Summary Statistics KPI 0'!C13)</f>
        <v>1971</v>
      </c>
      <c r="D6" s="239">
        <f>('Summary Statistics KPI 0'!E13)</f>
        <v>1157</v>
      </c>
      <c r="E6" s="239">
        <f>('Summary Statistics KPI 0'!G13)</f>
        <v>146</v>
      </c>
      <c r="F6" s="240">
        <f>('Summary Statistics KPI 0'!I13)</f>
        <v>19270</v>
      </c>
      <c r="G6" s="206">
        <v>14256</v>
      </c>
      <c r="H6" s="8">
        <f t="shared" si="0"/>
        <v>0.73980280228334194</v>
      </c>
      <c r="I6" s="206">
        <v>13811</v>
      </c>
      <c r="J6" s="8">
        <f t="shared" si="1"/>
        <v>0.96878507295173966</v>
      </c>
      <c r="K6" s="206">
        <v>208</v>
      </c>
      <c r="L6" s="8">
        <f t="shared" si="2"/>
        <v>1.4590347923681257E-2</v>
      </c>
      <c r="M6" s="206">
        <v>122</v>
      </c>
      <c r="N6" s="159">
        <v>63</v>
      </c>
      <c r="O6" s="266">
        <f t="shared" si="3"/>
        <v>0.51639344262295084</v>
      </c>
      <c r="P6" s="206">
        <v>386</v>
      </c>
      <c r="Q6" s="8">
        <f t="shared" si="4"/>
        <v>2.7076318742985411E-2</v>
      </c>
    </row>
    <row r="7" spans="1:43" ht="15.75" customHeight="1" thickBot="1" x14ac:dyDescent="0.35">
      <c r="A7" s="31" t="s">
        <v>5</v>
      </c>
      <c r="B7" s="238">
        <f>('Summary Statistics KPI 0'!B14)</f>
        <v>17459</v>
      </c>
      <c r="C7" s="239">
        <f>('Summary Statistics KPI 0'!C14)</f>
        <v>1034</v>
      </c>
      <c r="D7" s="239">
        <f>('Summary Statistics KPI 0'!E14)</f>
        <v>665</v>
      </c>
      <c r="E7" s="239">
        <f>('Summary Statistics KPI 0'!G14)</f>
        <v>353</v>
      </c>
      <c r="F7" s="240">
        <f>('Summary Statistics KPI 0'!I14)</f>
        <v>16113</v>
      </c>
      <c r="G7" s="206">
        <v>11027</v>
      </c>
      <c r="H7" s="8">
        <f t="shared" si="0"/>
        <v>0.6843542481226339</v>
      </c>
      <c r="I7" s="206">
        <v>10304</v>
      </c>
      <c r="J7" s="8">
        <f t="shared" si="1"/>
        <v>0.93443366282760498</v>
      </c>
      <c r="K7" s="206">
        <v>366</v>
      </c>
      <c r="L7" s="8">
        <f t="shared" si="2"/>
        <v>3.3191257821710347E-2</v>
      </c>
      <c r="M7" s="206">
        <v>223</v>
      </c>
      <c r="N7" s="159">
        <v>74</v>
      </c>
      <c r="O7" s="266">
        <f t="shared" si="3"/>
        <v>0.33183856502242154</v>
      </c>
      <c r="P7" s="206">
        <v>425</v>
      </c>
      <c r="Q7" s="8">
        <f t="shared" si="4"/>
        <v>3.854176113176748E-2</v>
      </c>
    </row>
    <row r="8" spans="1:43" s="11" customFormat="1" ht="15.75" customHeight="1" thickBot="1" x14ac:dyDescent="0.35">
      <c r="A8" s="65" t="s">
        <v>6</v>
      </c>
      <c r="B8" s="238">
        <f>('Summary Statistics KPI 0'!B15)</f>
        <v>31383</v>
      </c>
      <c r="C8" s="239">
        <f>('Summary Statistics KPI 0'!C15)</f>
        <v>1613</v>
      </c>
      <c r="D8" s="239">
        <f>('Summary Statistics KPI 0'!E15)</f>
        <v>3019</v>
      </c>
      <c r="E8" s="239">
        <f>('Summary Statistics KPI 0'!G15)</f>
        <v>319</v>
      </c>
      <c r="F8" s="240">
        <f>('Summary Statistics KPI 0'!I15)</f>
        <v>27070</v>
      </c>
      <c r="G8" s="206">
        <v>20071</v>
      </c>
      <c r="H8" s="66">
        <f t="shared" si="0"/>
        <v>0.74144809752493535</v>
      </c>
      <c r="I8" s="206">
        <v>18691</v>
      </c>
      <c r="J8" s="66">
        <f t="shared" si="1"/>
        <v>0.93124408350356236</v>
      </c>
      <c r="K8" s="206">
        <v>365</v>
      </c>
      <c r="L8" s="66">
        <f t="shared" si="2"/>
        <v>1.8185441682028798E-2</v>
      </c>
      <c r="M8" s="206">
        <v>226</v>
      </c>
      <c r="N8" s="159">
        <v>111</v>
      </c>
      <c r="O8" s="266">
        <f t="shared" si="3"/>
        <v>0.49115044247787609</v>
      </c>
      <c r="P8" s="206">
        <v>1199</v>
      </c>
      <c r="Q8" s="66">
        <f t="shared" si="4"/>
        <v>5.9737930347267203E-2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.75" customHeight="1" thickBot="1" x14ac:dyDescent="0.35">
      <c r="A9" s="31" t="s">
        <v>7</v>
      </c>
      <c r="B9" s="238">
        <f>('Summary Statistics KPI 0'!B16)</f>
        <v>66755</v>
      </c>
      <c r="C9" s="239">
        <f>('Summary Statistics KPI 0'!C16)</f>
        <v>6666</v>
      </c>
      <c r="D9" s="239">
        <f>('Summary Statistics KPI 0'!E16)</f>
        <v>3505</v>
      </c>
      <c r="E9" s="239">
        <f>('Summary Statistics KPI 0'!G16)</f>
        <v>1513</v>
      </c>
      <c r="F9" s="240">
        <f>('Summary Statistics KPI 0'!I16)</f>
        <v>58097</v>
      </c>
      <c r="G9" s="206">
        <v>40639</v>
      </c>
      <c r="H9" s="8">
        <f t="shared" si="0"/>
        <v>0.69950255607002088</v>
      </c>
      <c r="I9" s="206">
        <v>38324</v>
      </c>
      <c r="J9" s="8">
        <f t="shared" si="1"/>
        <v>0.9430350156253845</v>
      </c>
      <c r="K9" s="206">
        <v>674</v>
      </c>
      <c r="L9" s="8">
        <f t="shared" si="2"/>
        <v>1.6585053766086762E-2</v>
      </c>
      <c r="M9" s="206">
        <v>370</v>
      </c>
      <c r="N9" s="159">
        <v>85</v>
      </c>
      <c r="O9" s="266">
        <f t="shared" si="3"/>
        <v>0.22972972972972974</v>
      </c>
      <c r="P9" s="206">
        <v>1837</v>
      </c>
      <c r="Q9" s="8">
        <f t="shared" si="4"/>
        <v>4.5202883929230539E-2</v>
      </c>
      <c r="S9" s="59"/>
    </row>
    <row r="10" spans="1:43" ht="15.75" customHeight="1" thickBot="1" x14ac:dyDescent="0.35">
      <c r="A10" s="31" t="s">
        <v>8</v>
      </c>
      <c r="B10" s="238">
        <f>('Summary Statistics KPI 0'!B17)</f>
        <v>18536</v>
      </c>
      <c r="C10" s="239">
        <f>('Summary Statistics KPI 0'!C17)</f>
        <v>1466</v>
      </c>
      <c r="D10" s="239">
        <f>('Summary Statistics KPI 0'!E17)</f>
        <v>1374</v>
      </c>
      <c r="E10" s="239">
        <f>('Summary Statistics KPI 0'!G17)</f>
        <v>294</v>
      </c>
      <c r="F10" s="240">
        <f>('Summary Statistics KPI 0'!I17)</f>
        <v>15990</v>
      </c>
      <c r="G10" s="206">
        <v>11786</v>
      </c>
      <c r="H10" s="8">
        <f t="shared" si="0"/>
        <v>0.73708567854909324</v>
      </c>
      <c r="I10" s="206">
        <v>11420</v>
      </c>
      <c r="J10" s="8">
        <f t="shared" si="1"/>
        <v>0.96894620736466996</v>
      </c>
      <c r="K10" s="206">
        <v>126</v>
      </c>
      <c r="L10" s="8">
        <f t="shared" si="2"/>
        <v>1.0690649923638215E-2</v>
      </c>
      <c r="M10" s="206">
        <v>62</v>
      </c>
      <c r="N10" s="159">
        <v>24</v>
      </c>
      <c r="O10" s="266">
        <f t="shared" si="3"/>
        <v>0.38709677419354838</v>
      </c>
      <c r="P10" s="206">
        <v>307</v>
      </c>
      <c r="Q10" s="8">
        <f t="shared" si="4"/>
        <v>2.6047853385372476E-2</v>
      </c>
    </row>
    <row r="11" spans="1:43" ht="15.75" customHeight="1" thickBot="1" x14ac:dyDescent="0.35">
      <c r="A11" s="31" t="s">
        <v>9</v>
      </c>
      <c r="B11" s="238">
        <f>('Summary Statistics KPI 0'!B18)</f>
        <v>40217</v>
      </c>
      <c r="C11" s="239">
        <f>('Summary Statistics KPI 0'!C18)</f>
        <v>4120</v>
      </c>
      <c r="D11" s="239">
        <f>('Summary Statistics KPI 0'!E18)</f>
        <v>2371</v>
      </c>
      <c r="E11" s="239">
        <f>('Summary Statistics KPI 0'!G18)</f>
        <v>1551</v>
      </c>
      <c r="F11" s="240">
        <f>('Summary Statistics KPI 0'!I18)</f>
        <v>35277</v>
      </c>
      <c r="G11" s="206">
        <v>24730</v>
      </c>
      <c r="H11" s="8">
        <f t="shared" si="0"/>
        <v>0.70102332964821268</v>
      </c>
      <c r="I11" s="206">
        <v>24055</v>
      </c>
      <c r="J11" s="8">
        <f t="shared" si="1"/>
        <v>0.97270521633643348</v>
      </c>
      <c r="K11" s="206">
        <v>214</v>
      </c>
      <c r="L11" s="8">
        <f t="shared" si="2"/>
        <v>8.6534573392640524E-3</v>
      </c>
      <c r="M11" s="206">
        <v>122</v>
      </c>
      <c r="N11" s="159">
        <v>73</v>
      </c>
      <c r="O11" s="266">
        <f t="shared" si="3"/>
        <v>0.59836065573770492</v>
      </c>
      <c r="P11" s="206">
        <v>677</v>
      </c>
      <c r="Q11" s="8">
        <f t="shared" si="4"/>
        <v>2.7375657096643753E-2</v>
      </c>
    </row>
    <row r="12" spans="1:43" ht="15.75" customHeight="1" thickBot="1" x14ac:dyDescent="0.35">
      <c r="A12" s="31" t="s">
        <v>10</v>
      </c>
      <c r="B12" s="238">
        <f>('Summary Statistics KPI 0'!B19)</f>
        <v>45693</v>
      </c>
      <c r="C12" s="239">
        <f>('Summary Statistics KPI 0'!C19)</f>
        <v>2888</v>
      </c>
      <c r="D12" s="239">
        <f>('Summary Statistics KPI 0'!E19)</f>
        <v>5241</v>
      </c>
      <c r="E12" s="239">
        <f>('Summary Statistics KPI 0'!G19)</f>
        <v>249</v>
      </c>
      <c r="F12" s="240">
        <f>('Summary Statistics KPI 0'!I19)</f>
        <v>37813</v>
      </c>
      <c r="G12" s="206">
        <v>26144</v>
      </c>
      <c r="H12" s="8">
        <f t="shared" si="0"/>
        <v>0.69140242773649274</v>
      </c>
      <c r="I12" s="206">
        <v>25405</v>
      </c>
      <c r="J12" s="8">
        <f t="shared" si="1"/>
        <v>0.97173347613219097</v>
      </c>
      <c r="K12" s="206">
        <v>284</v>
      </c>
      <c r="L12" s="8">
        <f t="shared" si="2"/>
        <v>1.0862913096695227E-2</v>
      </c>
      <c r="M12" s="206">
        <v>167</v>
      </c>
      <c r="N12" s="159">
        <v>40</v>
      </c>
      <c r="O12" s="266">
        <f t="shared" si="3"/>
        <v>0.23952095808383234</v>
      </c>
      <c r="P12" s="206">
        <v>633</v>
      </c>
      <c r="Q12" s="8">
        <f t="shared" si="4"/>
        <v>2.421205630354957E-2</v>
      </c>
      <c r="S12" s="197"/>
    </row>
    <row r="13" spans="1:43" ht="15.75" customHeight="1" thickBot="1" x14ac:dyDescent="0.35">
      <c r="A13" s="31" t="s">
        <v>11</v>
      </c>
      <c r="B13" s="238">
        <f>('Summary Statistics KPI 0'!B20)</f>
        <v>1255</v>
      </c>
      <c r="C13" s="239">
        <f>('Summary Statistics KPI 0'!C20)</f>
        <v>91</v>
      </c>
      <c r="D13" s="239">
        <f>('Summary Statistics KPI 0'!E20)</f>
        <v>93</v>
      </c>
      <c r="E13" s="239">
        <f>('Summary Statistics KPI 0'!G20)</f>
        <v>10</v>
      </c>
      <c r="F13" s="240">
        <f>('Summary Statistics KPI 0'!I20)</f>
        <v>1081</v>
      </c>
      <c r="G13" s="206">
        <v>937</v>
      </c>
      <c r="H13" s="8">
        <f t="shared" si="0"/>
        <v>0.86679000925069383</v>
      </c>
      <c r="I13" s="206">
        <v>862</v>
      </c>
      <c r="J13" s="8">
        <f t="shared" si="1"/>
        <v>0.91995731056563501</v>
      </c>
      <c r="K13" s="206">
        <v>19</v>
      </c>
      <c r="L13" s="8">
        <f t="shared" si="2"/>
        <v>2.0277481323372464E-2</v>
      </c>
      <c r="M13" s="206">
        <v>7</v>
      </c>
      <c r="N13" s="159">
        <v>5</v>
      </c>
      <c r="O13" s="266">
        <f t="shared" si="3"/>
        <v>0.7142857142857143</v>
      </c>
      <c r="P13" s="206">
        <v>59</v>
      </c>
      <c r="Q13" s="8">
        <f t="shared" si="4"/>
        <v>6.2966915688367125E-2</v>
      </c>
    </row>
    <row r="14" spans="1:43" ht="15.75" customHeight="1" thickBot="1" x14ac:dyDescent="0.35">
      <c r="A14" s="31" t="s">
        <v>12</v>
      </c>
      <c r="B14" s="238">
        <f>('Summary Statistics KPI 0'!B21)</f>
        <v>1221</v>
      </c>
      <c r="C14" s="239">
        <f>('Summary Statistics KPI 0'!C21)</f>
        <v>113</v>
      </c>
      <c r="D14" s="239">
        <f>('Summary Statistics KPI 0'!E21)</f>
        <v>88</v>
      </c>
      <c r="E14" s="239">
        <f>('Summary Statistics KPI 0'!G21)</f>
        <v>34</v>
      </c>
      <c r="F14" s="240">
        <f>('Summary Statistics KPI 0'!I21)</f>
        <v>1054</v>
      </c>
      <c r="G14" s="206">
        <v>785</v>
      </c>
      <c r="H14" s="8">
        <f t="shared" si="0"/>
        <v>0.74478178368121439</v>
      </c>
      <c r="I14" s="206">
        <v>708</v>
      </c>
      <c r="J14" s="8">
        <f t="shared" si="1"/>
        <v>0.90191082802547773</v>
      </c>
      <c r="K14" s="206">
        <v>12</v>
      </c>
      <c r="L14" s="8">
        <f t="shared" si="2"/>
        <v>1.5286624203821656E-2</v>
      </c>
      <c r="M14" s="206">
        <v>7</v>
      </c>
      <c r="N14" s="159">
        <v>4</v>
      </c>
      <c r="O14" s="266">
        <f t="shared" si="3"/>
        <v>0.5714285714285714</v>
      </c>
      <c r="P14" s="206">
        <v>67</v>
      </c>
      <c r="Q14" s="8">
        <f t="shared" si="4"/>
        <v>8.5350318471337575E-2</v>
      </c>
    </row>
    <row r="15" spans="1:43" ht="15.75" customHeight="1" thickBot="1" x14ac:dyDescent="0.35">
      <c r="A15" s="31" t="s">
        <v>13</v>
      </c>
      <c r="B15" s="238">
        <f>('Summary Statistics KPI 0'!B22)</f>
        <v>24975</v>
      </c>
      <c r="C15" s="239">
        <f>('Summary Statistics KPI 0'!C22)</f>
        <v>1992</v>
      </c>
      <c r="D15" s="239">
        <f>('Summary Statistics KPI 0'!E22)</f>
        <v>1858</v>
      </c>
      <c r="E15" s="239">
        <f>('Summary Statistics KPI 0'!G22)</f>
        <v>354</v>
      </c>
      <c r="F15" s="240">
        <f>('Summary Statistics KPI 0'!I22)</f>
        <v>21479</v>
      </c>
      <c r="G15" s="206">
        <v>15733</v>
      </c>
      <c r="H15" s="8">
        <f t="shared" si="0"/>
        <v>0.73248289026490987</v>
      </c>
      <c r="I15" s="206">
        <v>14794</v>
      </c>
      <c r="J15" s="8">
        <f t="shared" si="1"/>
        <v>0.94031653212991806</v>
      </c>
      <c r="K15" s="206">
        <v>188</v>
      </c>
      <c r="L15" s="8">
        <f t="shared" si="2"/>
        <v>1.1949405707748046E-2</v>
      </c>
      <c r="M15" s="206">
        <v>113</v>
      </c>
      <c r="N15" s="159">
        <v>29</v>
      </c>
      <c r="O15" s="266">
        <f t="shared" si="3"/>
        <v>0.25663716814159293</v>
      </c>
      <c r="P15" s="206">
        <v>883</v>
      </c>
      <c r="Q15" s="8">
        <f t="shared" si="4"/>
        <v>5.6124070425220871E-2</v>
      </c>
    </row>
    <row r="16" spans="1:43" ht="15.75" customHeight="1" thickBot="1" x14ac:dyDescent="0.35">
      <c r="A16" s="91" t="s">
        <v>21</v>
      </c>
      <c r="B16" s="241">
        <f>('Summary Statistics KPI 0'!B23)</f>
        <v>1525</v>
      </c>
      <c r="C16" s="242">
        <f>('Summary Statistics KPI 0'!C23)</f>
        <v>178</v>
      </c>
      <c r="D16" s="242">
        <f>('Summary Statistics KPI 0'!E23)</f>
        <v>105</v>
      </c>
      <c r="E16" s="242">
        <f>('Summary Statistics KPI 0'!G23)</f>
        <v>28</v>
      </c>
      <c r="F16" s="243">
        <f>('Summary Statistics KPI 0'!I23)</f>
        <v>1270</v>
      </c>
      <c r="G16" s="208">
        <v>937</v>
      </c>
      <c r="H16" s="13">
        <f t="shared" si="0"/>
        <v>0.73779527559055114</v>
      </c>
      <c r="I16" s="208">
        <v>900</v>
      </c>
      <c r="J16" s="13">
        <f t="shared" si="1"/>
        <v>0.96051227321237997</v>
      </c>
      <c r="K16" s="208">
        <v>8</v>
      </c>
      <c r="L16" s="13">
        <f t="shared" si="2"/>
        <v>8.5378868729989333E-3</v>
      </c>
      <c r="M16" s="208">
        <v>5</v>
      </c>
      <c r="N16" s="162">
        <v>0</v>
      </c>
      <c r="O16" s="266">
        <f t="shared" si="3"/>
        <v>0</v>
      </c>
      <c r="P16" s="208">
        <v>32</v>
      </c>
      <c r="Q16" s="13">
        <f t="shared" si="4"/>
        <v>3.4151547491995733E-2</v>
      </c>
    </row>
    <row r="17" spans="1:43" s="108" customFormat="1" ht="15.75" customHeight="1" thickBot="1" x14ac:dyDescent="0.35">
      <c r="A17" s="151" t="s">
        <v>60</v>
      </c>
      <c r="B17" s="213">
        <f>('Summary Statistics KPI 0'!B24)</f>
        <v>315218</v>
      </c>
      <c r="C17" s="214">
        <f>('Summary Statistics KPI 0'!C24)</f>
        <v>25304</v>
      </c>
      <c r="D17" s="214">
        <f>('Summary Statistics KPI 0'!E24)</f>
        <v>24049</v>
      </c>
      <c r="E17" s="214">
        <f>('Summary Statistics KPI 0'!G24)</f>
        <v>5148</v>
      </c>
      <c r="F17" s="244">
        <f>('Summary Statistics KPI 0'!I24)</f>
        <v>271013</v>
      </c>
      <c r="G17" s="245">
        <f>SUM(G3:G16)</f>
        <v>193931</v>
      </c>
      <c r="H17" s="152">
        <f t="shared" si="0"/>
        <v>0.71557821949500577</v>
      </c>
      <c r="I17" s="246">
        <f>SUM(I3:I16)</f>
        <v>184776</v>
      </c>
      <c r="J17" s="152">
        <f>I17/G17</f>
        <v>0.95279248804987338</v>
      </c>
      <c r="K17" s="213">
        <f>SUM(K3:K16)</f>
        <v>3036</v>
      </c>
      <c r="L17" s="152">
        <f t="shared" si="2"/>
        <v>1.5655052570244056E-2</v>
      </c>
      <c r="M17" s="213">
        <f>SUM(M3:M16)</f>
        <v>1745</v>
      </c>
      <c r="N17" s="214">
        <f>SUM(N3:N16)</f>
        <v>619</v>
      </c>
      <c r="O17" s="247">
        <f>(N17/M17)</f>
        <v>0.35472779369627505</v>
      </c>
      <c r="P17" s="215">
        <f>SUM(P3:P16)</f>
        <v>7536</v>
      </c>
      <c r="Q17" s="152">
        <f t="shared" si="4"/>
        <v>3.8859181873965483E-2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</row>
    <row r="18" spans="1:43" x14ac:dyDescent="0.25">
      <c r="M18" s="10"/>
      <c r="N18" s="10"/>
    </row>
    <row r="29" spans="1:43" x14ac:dyDescent="0.25">
      <c r="O29" s="37"/>
    </row>
  </sheetData>
  <mergeCells count="5">
    <mergeCell ref="B1:F1"/>
    <mergeCell ref="P1:Q1"/>
    <mergeCell ref="G1:J1"/>
    <mergeCell ref="K1:L1"/>
    <mergeCell ref="M1:O1"/>
  </mergeCells>
  <phoneticPr fontId="0" type="noConversion"/>
  <printOptions horizontalCentered="1" verticalCentered="1"/>
  <pageMargins left="0.19685039370078741" right="0.19685039370078741" top="1.2204724409448819" bottom="0.62992125984251968" header="0.43307086614173229" footer="0.39370078740157483"/>
  <pageSetup paperSize="9" scale="95" orientation="landscape" r:id="rId1"/>
  <headerFooter alignWithMargins="0">
    <oddHeader xml:space="preserve">&amp;CDiabetic Retinopathy Screening - &amp;A
</oddHeader>
    <oddFooter>&amp;C&amp;Z&amp;F&amp;R&amp;P/&amp;N</oddFooter>
  </headerFooter>
  <ignoredErrors>
    <ignoredError sqref="H17 J17 L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3"/>
  <sheetViews>
    <sheetView topLeftCell="C1" zoomScaleNormal="100" zoomScaleSheetLayoutView="85" workbookViewId="0">
      <selection activeCell="S45" sqref="S45"/>
    </sheetView>
  </sheetViews>
  <sheetFormatPr defaultRowHeight="12.5" x14ac:dyDescent="0.25"/>
  <cols>
    <col min="1" max="1" width="23.54296875" customWidth="1"/>
    <col min="2" max="2" width="9" customWidth="1"/>
    <col min="3" max="6" width="7.453125" customWidth="1"/>
    <col min="7" max="7" width="9.26953125" customWidth="1"/>
    <col min="8" max="8" width="8" style="14" customWidth="1"/>
    <col min="9" max="9" width="9.26953125" customWidth="1"/>
    <col min="10" max="10" width="8" style="2" customWidth="1"/>
    <col min="11" max="11" width="10" customWidth="1"/>
    <col min="12" max="12" width="17.7265625" customWidth="1"/>
    <col min="13" max="13" width="12.26953125" customWidth="1"/>
    <col min="23" max="35" width="9.26953125" style="9"/>
  </cols>
  <sheetData>
    <row r="1" spans="1:35" s="37" customFormat="1" ht="28.5" customHeight="1" thickBot="1" x14ac:dyDescent="0.3">
      <c r="B1" s="327" t="s">
        <v>0</v>
      </c>
      <c r="C1" s="328"/>
      <c r="D1" s="328"/>
      <c r="E1" s="328"/>
      <c r="F1" s="329"/>
      <c r="G1" s="322" t="s">
        <v>51</v>
      </c>
      <c r="H1" s="323"/>
      <c r="I1" s="323"/>
      <c r="J1" s="323"/>
      <c r="K1" s="323"/>
      <c r="L1" s="323"/>
      <c r="M1" s="324"/>
      <c r="N1" s="277" t="s">
        <v>90</v>
      </c>
      <c r="O1" s="277"/>
      <c r="P1" s="278"/>
      <c r="Q1" s="292" t="s">
        <v>24</v>
      </c>
      <c r="R1" s="277"/>
      <c r="S1" s="278"/>
      <c r="T1" s="292" t="s">
        <v>25</v>
      </c>
      <c r="U1" s="277"/>
      <c r="V1" s="278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s="1" customFormat="1" ht="147.75" customHeight="1" thickBot="1" x14ac:dyDescent="0.3">
      <c r="A2" s="257" t="s">
        <v>116</v>
      </c>
      <c r="B2" s="177"/>
      <c r="C2" s="178"/>
      <c r="D2" s="178"/>
      <c r="E2" s="178"/>
      <c r="F2" s="178"/>
      <c r="G2" s="179"/>
      <c r="H2" s="180"/>
      <c r="I2" s="181"/>
      <c r="J2" s="180"/>
      <c r="K2" s="325" t="s">
        <v>93</v>
      </c>
      <c r="L2" s="325"/>
      <c r="M2" s="326"/>
      <c r="N2" s="330" t="s">
        <v>96</v>
      </c>
      <c r="O2" s="330"/>
      <c r="P2" s="331"/>
      <c r="Q2" s="177"/>
      <c r="R2" s="178"/>
      <c r="S2" s="182"/>
      <c r="T2" s="177"/>
      <c r="U2" s="178"/>
      <c r="V2" s="183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43" customFormat="1" ht="166.75" customHeight="1" thickBot="1" x14ac:dyDescent="0.3">
      <c r="A3" s="184" t="s">
        <v>18</v>
      </c>
      <c r="B3" s="185" t="s">
        <v>1</v>
      </c>
      <c r="C3" s="186" t="s">
        <v>14</v>
      </c>
      <c r="D3" s="186" t="s">
        <v>19</v>
      </c>
      <c r="E3" s="186" t="s">
        <v>15</v>
      </c>
      <c r="F3" s="187" t="s">
        <v>16</v>
      </c>
      <c r="G3" s="188" t="s">
        <v>22</v>
      </c>
      <c r="H3" s="189" t="s">
        <v>76</v>
      </c>
      <c r="I3" s="174" t="s">
        <v>88</v>
      </c>
      <c r="J3" s="189" t="s">
        <v>77</v>
      </c>
      <c r="K3" s="174" t="s">
        <v>59</v>
      </c>
      <c r="L3" s="189" t="s">
        <v>56</v>
      </c>
      <c r="M3" s="190" t="s">
        <v>23</v>
      </c>
      <c r="N3" s="173" t="s">
        <v>91</v>
      </c>
      <c r="O3" s="174" t="s">
        <v>92</v>
      </c>
      <c r="P3" s="175" t="s">
        <v>78</v>
      </c>
      <c r="Q3" s="176" t="s">
        <v>87</v>
      </c>
      <c r="R3" s="35" t="s">
        <v>17</v>
      </c>
      <c r="S3" s="175" t="s">
        <v>79</v>
      </c>
      <c r="T3" s="118" t="s">
        <v>26</v>
      </c>
      <c r="U3" s="35" t="s">
        <v>17</v>
      </c>
      <c r="V3" s="175" t="s">
        <v>80</v>
      </c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1:35" s="2" customFormat="1" ht="15.75" customHeight="1" x14ac:dyDescent="0.3">
      <c r="A4" s="135" t="s">
        <v>20</v>
      </c>
      <c r="B4" s="92">
        <f>('Summary Statistics KPI 0'!B10)</f>
        <v>25403</v>
      </c>
      <c r="C4" s="85">
        <f>('Summary Statistics KPI 0'!C10)</f>
        <v>1352</v>
      </c>
      <c r="D4" s="85">
        <f>('Summary Statistics KPI 0'!E10)</f>
        <v>2177</v>
      </c>
      <c r="E4" s="85">
        <f>('Summary Statistics KPI 0'!G10)</f>
        <v>19</v>
      </c>
      <c r="F4" s="93">
        <f>('Summary Statistics KPI 0'!I10)</f>
        <v>21893</v>
      </c>
      <c r="G4" s="210">
        <v>409</v>
      </c>
      <c r="H4" s="170">
        <f>IF(G4=0,"0.0%",G4/F4)</f>
        <v>1.8681770428904215E-2</v>
      </c>
      <c r="I4" s="210">
        <v>266</v>
      </c>
      <c r="J4" s="170">
        <f>IF(I4=0,"0.0%",I4/G4)</f>
        <v>0.65036674816625917</v>
      </c>
      <c r="K4" s="210">
        <v>192</v>
      </c>
      <c r="L4" s="171" t="str">
        <f>INT((K4)/7)&amp;" weeks "&amp;MOD(K4,7)&amp;" days"</f>
        <v>27 weeks 3 days</v>
      </c>
      <c r="M4" s="85">
        <v>83</v>
      </c>
      <c r="N4" s="85">
        <v>409</v>
      </c>
      <c r="O4" s="85">
        <v>198</v>
      </c>
      <c r="P4" s="172">
        <f>IF(O4=0,"0.0%",O4/N4)</f>
        <v>0.4841075794621027</v>
      </c>
      <c r="Q4" s="210">
        <v>714</v>
      </c>
      <c r="R4" s="210">
        <v>23118</v>
      </c>
      <c r="S4" s="172">
        <f>IF(Q4=0,"0.0%",Q4/R4)</f>
        <v>3.088502465611212E-2</v>
      </c>
      <c r="T4" s="210">
        <v>1225</v>
      </c>
      <c r="U4" s="210">
        <v>23118</v>
      </c>
      <c r="V4" s="172">
        <f>IF(T4=0,"0.0%",T4/U4)</f>
        <v>5.2989012890388439E-2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s="2" customFormat="1" ht="15.75" customHeight="1" x14ac:dyDescent="0.3">
      <c r="A5" s="24" t="s">
        <v>2</v>
      </c>
      <c r="B5" s="158">
        <f>('Summary Statistics KPI 0'!B11)</f>
        <v>8264</v>
      </c>
      <c r="C5" s="159">
        <f>('Summary Statistics KPI 0'!C11)</f>
        <v>793</v>
      </c>
      <c r="D5" s="159">
        <f>('Summary Statistics KPI 0'!E11)</f>
        <v>1446</v>
      </c>
      <c r="E5" s="159">
        <f>('Summary Statistics KPI 0'!G11)</f>
        <v>62</v>
      </c>
      <c r="F5" s="160">
        <f>('Summary Statistics KPI 0'!I11)</f>
        <v>6087</v>
      </c>
      <c r="G5" s="211">
        <v>66</v>
      </c>
      <c r="H5" s="124">
        <f t="shared" ref="H5:H18" si="0">IF(G5=0,"0.0%",G5/F5)</f>
        <v>1.0842779694430755E-2</v>
      </c>
      <c r="I5" s="211">
        <v>27</v>
      </c>
      <c r="J5" s="124">
        <f t="shared" ref="J5:J18" si="1">IF(I5=0,"0.0%",I5/G5)</f>
        <v>0.40909090909090912</v>
      </c>
      <c r="K5" s="211">
        <v>180</v>
      </c>
      <c r="L5" s="164" t="str">
        <f t="shared" ref="L5:L18" si="2">INT((K5)/7)&amp;" weeks "&amp;MOD(K5,7)&amp;" days"</f>
        <v>25 weeks 5 days</v>
      </c>
      <c r="M5" s="159">
        <v>65</v>
      </c>
      <c r="N5" s="159">
        <v>66</v>
      </c>
      <c r="O5" s="159">
        <v>21</v>
      </c>
      <c r="P5" s="8">
        <f t="shared" ref="P5:P18" si="3">IF(O5=0,"0.0%",O5/N5)</f>
        <v>0.31818181818181818</v>
      </c>
      <c r="Q5" s="211">
        <v>166</v>
      </c>
      <c r="R5" s="211">
        <v>6776</v>
      </c>
      <c r="S5" s="8">
        <f t="shared" ref="S5:S18" si="4">IF(Q5=0,"0.0%",Q5/R5)</f>
        <v>2.4498229043683588E-2</v>
      </c>
      <c r="T5" s="211">
        <v>689</v>
      </c>
      <c r="U5" s="211">
        <v>6776</v>
      </c>
      <c r="V5" s="8">
        <f t="shared" ref="V5:V18" si="5">IF(T5=0,"0.0%",T5/U5)</f>
        <v>0.10168240850059032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s="2" customFormat="1" ht="15.75" customHeight="1" x14ac:dyDescent="0.3">
      <c r="A6" s="24" t="s">
        <v>3</v>
      </c>
      <c r="B6" s="158">
        <f>('Summary Statistics KPI 0'!B12)</f>
        <v>10280</v>
      </c>
      <c r="C6" s="159">
        <f>('Summary Statistics KPI 0'!C12)</f>
        <v>1027</v>
      </c>
      <c r="D6" s="159">
        <f>('Summary Statistics KPI 0'!E12)</f>
        <v>950</v>
      </c>
      <c r="E6" s="159">
        <f>('Summary Statistics KPI 0'!G12)</f>
        <v>216</v>
      </c>
      <c r="F6" s="160">
        <f>('Summary Statistics KPI 0'!I12)</f>
        <v>8519</v>
      </c>
      <c r="G6" s="211">
        <v>163</v>
      </c>
      <c r="H6" s="124">
        <f t="shared" si="0"/>
        <v>1.9133701138631293E-2</v>
      </c>
      <c r="I6" s="211">
        <v>142</v>
      </c>
      <c r="J6" s="124">
        <f t="shared" si="1"/>
        <v>0.87116564417177911</v>
      </c>
      <c r="K6" s="211">
        <v>148</v>
      </c>
      <c r="L6" s="164" t="str">
        <f t="shared" si="2"/>
        <v>21 weeks 1 days</v>
      </c>
      <c r="M6" s="159">
        <v>52</v>
      </c>
      <c r="N6" s="159">
        <v>163</v>
      </c>
      <c r="O6" s="159">
        <v>141</v>
      </c>
      <c r="P6" s="8">
        <f t="shared" si="3"/>
        <v>0.86503067484662577</v>
      </c>
      <c r="Q6" s="211">
        <v>363</v>
      </c>
      <c r="R6" s="211">
        <v>9280</v>
      </c>
      <c r="S6" s="8">
        <f t="shared" si="4"/>
        <v>3.9116379310344826E-2</v>
      </c>
      <c r="T6" s="211">
        <v>761</v>
      </c>
      <c r="U6" s="211">
        <v>9280</v>
      </c>
      <c r="V6" s="8">
        <f t="shared" si="5"/>
        <v>8.200431034482758E-2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2" customFormat="1" ht="15.75" customHeight="1" x14ac:dyDescent="0.3">
      <c r="A7" s="24" t="s">
        <v>4</v>
      </c>
      <c r="B7" s="158">
        <f>('Summary Statistics KPI 0'!B13)</f>
        <v>22252</v>
      </c>
      <c r="C7" s="159">
        <f>('Summary Statistics KPI 0'!C13)</f>
        <v>1971</v>
      </c>
      <c r="D7" s="159">
        <f>('Summary Statistics KPI 0'!E13)</f>
        <v>1157</v>
      </c>
      <c r="E7" s="159">
        <f>('Summary Statistics KPI 0'!G13)</f>
        <v>146</v>
      </c>
      <c r="F7" s="160">
        <f>('Summary Statistics KPI 0'!I13)</f>
        <v>19270</v>
      </c>
      <c r="G7" s="211">
        <v>202</v>
      </c>
      <c r="H7" s="124">
        <f t="shared" si="0"/>
        <v>1.0482615464452517E-2</v>
      </c>
      <c r="I7" s="211">
        <v>2</v>
      </c>
      <c r="J7" s="124">
        <f t="shared" si="1"/>
        <v>9.9009900990099011E-3</v>
      </c>
      <c r="K7" s="211">
        <v>25</v>
      </c>
      <c r="L7" s="164" t="str">
        <f t="shared" si="2"/>
        <v>3 weeks 4 days</v>
      </c>
      <c r="M7" s="159">
        <v>12</v>
      </c>
      <c r="N7" s="159">
        <v>202</v>
      </c>
      <c r="O7" s="159">
        <v>2</v>
      </c>
      <c r="P7" s="8">
        <f t="shared" si="3"/>
        <v>9.9009900990099011E-3</v>
      </c>
      <c r="Q7" s="211">
        <v>27</v>
      </c>
      <c r="R7" s="211">
        <v>20962</v>
      </c>
      <c r="S7" s="8">
        <f t="shared" si="4"/>
        <v>1.288045033870814E-3</v>
      </c>
      <c r="T7" s="211">
        <v>1692</v>
      </c>
      <c r="U7" s="211">
        <v>20962</v>
      </c>
      <c r="V7" s="8">
        <f t="shared" si="5"/>
        <v>8.0717488789237665E-2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2" customFormat="1" ht="15.75" customHeight="1" x14ac:dyDescent="0.3">
      <c r="A8" s="24" t="s">
        <v>5</v>
      </c>
      <c r="B8" s="158">
        <f>('Summary Statistics KPI 0'!B14)</f>
        <v>17459</v>
      </c>
      <c r="C8" s="159">
        <f>('Summary Statistics KPI 0'!C14)</f>
        <v>1034</v>
      </c>
      <c r="D8" s="159">
        <f>('Summary Statistics KPI 0'!E14)</f>
        <v>665</v>
      </c>
      <c r="E8" s="159">
        <f>('Summary Statistics KPI 0'!G14)</f>
        <v>353</v>
      </c>
      <c r="F8" s="160">
        <f>('Summary Statistics KPI 0'!I14)</f>
        <v>16113</v>
      </c>
      <c r="G8" s="211">
        <v>233</v>
      </c>
      <c r="H8" s="124">
        <f t="shared" si="0"/>
        <v>1.4460373611369702E-2</v>
      </c>
      <c r="I8" s="211">
        <v>166</v>
      </c>
      <c r="J8" s="124">
        <f t="shared" si="1"/>
        <v>0.71244635193133043</v>
      </c>
      <c r="K8" s="211">
        <v>198</v>
      </c>
      <c r="L8" s="164" t="str">
        <f t="shared" si="2"/>
        <v>28 weeks 2 days</v>
      </c>
      <c r="M8" s="159">
        <v>66</v>
      </c>
      <c r="N8" s="159">
        <v>233</v>
      </c>
      <c r="O8" s="159">
        <v>157</v>
      </c>
      <c r="P8" s="8">
        <f t="shared" si="3"/>
        <v>0.67381974248927035</v>
      </c>
      <c r="Q8" s="211">
        <v>514</v>
      </c>
      <c r="R8" s="211">
        <v>16713</v>
      </c>
      <c r="S8" s="8">
        <f t="shared" si="4"/>
        <v>3.0754502483096989E-2</v>
      </c>
      <c r="T8" s="211">
        <v>600</v>
      </c>
      <c r="U8" s="211">
        <v>16713</v>
      </c>
      <c r="V8" s="8">
        <f t="shared" si="5"/>
        <v>3.5900197451085983E-2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4" customFormat="1" ht="15.75" customHeight="1" x14ac:dyDescent="0.3">
      <c r="A9" s="68" t="s">
        <v>6</v>
      </c>
      <c r="B9" s="158">
        <f>('Summary Statistics KPI 0'!B15)</f>
        <v>31383</v>
      </c>
      <c r="C9" s="159">
        <f>('Summary Statistics KPI 0'!C15)</f>
        <v>1613</v>
      </c>
      <c r="D9" s="159">
        <f>('Summary Statistics KPI 0'!E15)</f>
        <v>3019</v>
      </c>
      <c r="E9" s="159">
        <f>('Summary Statistics KPI 0'!G15)</f>
        <v>319</v>
      </c>
      <c r="F9" s="160">
        <f>('Summary Statistics KPI 0'!I15)</f>
        <v>27070</v>
      </c>
      <c r="G9" s="211">
        <v>532</v>
      </c>
      <c r="H9" s="124">
        <f t="shared" si="0"/>
        <v>1.9652752124122645E-2</v>
      </c>
      <c r="I9" s="211">
        <v>424</v>
      </c>
      <c r="J9" s="124">
        <f t="shared" si="1"/>
        <v>0.79699248120300747</v>
      </c>
      <c r="K9" s="211">
        <v>198</v>
      </c>
      <c r="L9" s="164" t="str">
        <f t="shared" si="2"/>
        <v>28 weeks 2 days</v>
      </c>
      <c r="M9" s="159">
        <v>58</v>
      </c>
      <c r="N9" s="159">
        <v>532</v>
      </c>
      <c r="O9" s="159">
        <v>473</v>
      </c>
      <c r="P9" s="8">
        <f t="shared" si="3"/>
        <v>0.88909774436090228</v>
      </c>
      <c r="Q9" s="211">
        <v>1761</v>
      </c>
      <c r="R9" s="211">
        <v>28193</v>
      </c>
      <c r="S9" s="8">
        <f t="shared" si="4"/>
        <v>6.2462313340190825E-2</v>
      </c>
      <c r="T9" s="211">
        <v>1123</v>
      </c>
      <c r="U9" s="211">
        <v>28193</v>
      </c>
      <c r="V9" s="8">
        <f t="shared" si="5"/>
        <v>3.9832582555953608E-2</v>
      </c>
    </row>
    <row r="10" spans="1:35" s="2" customFormat="1" ht="15.75" customHeight="1" x14ac:dyDescent="0.3">
      <c r="A10" s="24" t="s">
        <v>7</v>
      </c>
      <c r="B10" s="158">
        <f>('Summary Statistics KPI 0'!B16)</f>
        <v>66755</v>
      </c>
      <c r="C10" s="159">
        <f>('Summary Statistics KPI 0'!C16)</f>
        <v>6666</v>
      </c>
      <c r="D10" s="159">
        <f>('Summary Statistics KPI 0'!E16)</f>
        <v>3505</v>
      </c>
      <c r="E10" s="159">
        <f>('Summary Statistics KPI 0'!G16)</f>
        <v>1513</v>
      </c>
      <c r="F10" s="160">
        <f>('Summary Statistics KPI 0'!I16)</f>
        <v>58097</v>
      </c>
      <c r="G10" s="211">
        <v>979</v>
      </c>
      <c r="H10" s="124">
        <f t="shared" si="0"/>
        <v>1.6851128285453636E-2</v>
      </c>
      <c r="I10" s="211">
        <v>640</v>
      </c>
      <c r="J10" s="124">
        <f t="shared" si="1"/>
        <v>0.65372829417773237</v>
      </c>
      <c r="K10" s="211">
        <v>205</v>
      </c>
      <c r="L10" s="164" t="str">
        <f t="shared" si="2"/>
        <v>29 weeks 2 days</v>
      </c>
      <c r="M10" s="159">
        <v>55</v>
      </c>
      <c r="N10" s="159">
        <v>979</v>
      </c>
      <c r="O10" s="159">
        <v>643</v>
      </c>
      <c r="P10" s="8">
        <f t="shared" si="3"/>
        <v>0.65679264555669048</v>
      </c>
      <c r="Q10" s="211">
        <v>6083</v>
      </c>
      <c r="R10" s="211">
        <v>63017</v>
      </c>
      <c r="S10" s="8">
        <f t="shared" si="4"/>
        <v>9.6529507910563819E-2</v>
      </c>
      <c r="T10" s="211">
        <v>4920</v>
      </c>
      <c r="U10" s="211">
        <v>63017</v>
      </c>
      <c r="V10" s="8">
        <f t="shared" si="5"/>
        <v>7.8074170461938847E-2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2" customFormat="1" ht="15.75" customHeight="1" x14ac:dyDescent="0.3">
      <c r="A11" s="24" t="s">
        <v>8</v>
      </c>
      <c r="B11" s="158">
        <f>('Summary Statistics KPI 0'!B17)</f>
        <v>18536</v>
      </c>
      <c r="C11" s="159">
        <f>('Summary Statistics KPI 0'!C17)</f>
        <v>1466</v>
      </c>
      <c r="D11" s="159">
        <f>('Summary Statistics KPI 0'!E17)</f>
        <v>1374</v>
      </c>
      <c r="E11" s="159">
        <f>('Summary Statistics KPI 0'!G17)</f>
        <v>294</v>
      </c>
      <c r="F11" s="160">
        <f>('Summary Statistics KPI 0'!I17)</f>
        <v>15990</v>
      </c>
      <c r="G11" s="211">
        <v>168</v>
      </c>
      <c r="H11" s="124">
        <f t="shared" si="0"/>
        <v>1.050656660412758E-2</v>
      </c>
      <c r="I11" s="211">
        <v>14</v>
      </c>
      <c r="J11" s="124">
        <f t="shared" si="1"/>
        <v>8.3333333333333329E-2</v>
      </c>
      <c r="K11" s="211">
        <v>174</v>
      </c>
      <c r="L11" s="164" t="str">
        <f t="shared" si="2"/>
        <v>24 weeks 6 days</v>
      </c>
      <c r="M11" s="159">
        <v>119</v>
      </c>
      <c r="N11" s="159">
        <v>168</v>
      </c>
      <c r="O11" s="159">
        <v>4</v>
      </c>
      <c r="P11" s="8">
        <f t="shared" si="3"/>
        <v>2.3809523809523808E-2</v>
      </c>
      <c r="Q11" s="211">
        <v>241</v>
      </c>
      <c r="R11" s="211">
        <v>17073</v>
      </c>
      <c r="S11" s="8">
        <f t="shared" si="4"/>
        <v>1.4115855444268728E-2</v>
      </c>
      <c r="T11" s="211">
        <v>1083</v>
      </c>
      <c r="U11" s="211">
        <v>17073</v>
      </c>
      <c r="V11" s="8">
        <f t="shared" si="5"/>
        <v>6.3433491477771914E-2</v>
      </c>
      <c r="W11" s="14"/>
      <c r="X11" s="19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s="2" customFormat="1" ht="15.75" customHeight="1" x14ac:dyDescent="0.3">
      <c r="A12" s="24" t="s">
        <v>9</v>
      </c>
      <c r="B12" s="158">
        <f>('Summary Statistics KPI 0'!B18)</f>
        <v>40217</v>
      </c>
      <c r="C12" s="159">
        <f>('Summary Statistics KPI 0'!C18)</f>
        <v>4120</v>
      </c>
      <c r="D12" s="159">
        <f>('Summary Statistics KPI 0'!E18)</f>
        <v>2371</v>
      </c>
      <c r="E12" s="159">
        <f>('Summary Statistics KPI 0'!G18)</f>
        <v>1551</v>
      </c>
      <c r="F12" s="160">
        <f>('Summary Statistics KPI 0'!I18)</f>
        <v>35277</v>
      </c>
      <c r="G12" s="211">
        <v>393</v>
      </c>
      <c r="H12" s="124">
        <f t="shared" si="0"/>
        <v>1.1140403095501319E-2</v>
      </c>
      <c r="I12" s="211">
        <v>83</v>
      </c>
      <c r="J12" s="124">
        <f t="shared" si="1"/>
        <v>0.21119592875318066</v>
      </c>
      <c r="K12" s="211">
        <v>143</v>
      </c>
      <c r="L12" s="164" t="str">
        <f t="shared" si="2"/>
        <v>20 weeks 3 days</v>
      </c>
      <c r="M12" s="159">
        <v>34</v>
      </c>
      <c r="N12" s="159">
        <v>393</v>
      </c>
      <c r="O12" s="159">
        <v>85</v>
      </c>
      <c r="P12" s="8">
        <f t="shared" si="3"/>
        <v>0.21628498727735368</v>
      </c>
      <c r="Q12" s="211">
        <v>1159</v>
      </c>
      <c r="R12" s="211">
        <v>37494</v>
      </c>
      <c r="S12" s="8">
        <f t="shared" si="4"/>
        <v>3.0911612524670614E-2</v>
      </c>
      <c r="T12" s="211">
        <v>2217</v>
      </c>
      <c r="U12" s="211">
        <v>37494</v>
      </c>
      <c r="V12" s="8">
        <f t="shared" si="5"/>
        <v>5.9129460713714194E-2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2" customFormat="1" ht="15.75" customHeight="1" x14ac:dyDescent="0.3">
      <c r="A13" s="24" t="s">
        <v>10</v>
      </c>
      <c r="B13" s="158">
        <f>('Summary Statistics KPI 0'!B19)</f>
        <v>45693</v>
      </c>
      <c r="C13" s="159">
        <f>('Summary Statistics KPI 0'!C19)</f>
        <v>2888</v>
      </c>
      <c r="D13" s="159">
        <f>('Summary Statistics KPI 0'!E19)</f>
        <v>5241</v>
      </c>
      <c r="E13" s="159">
        <f>('Summary Statistics KPI 0'!G19)</f>
        <v>249</v>
      </c>
      <c r="F13" s="160">
        <f>('Summary Statistics KPI 0'!I19)</f>
        <v>37813</v>
      </c>
      <c r="G13" s="211">
        <v>383</v>
      </c>
      <c r="H13" s="124">
        <f t="shared" si="0"/>
        <v>1.0128791685399201E-2</v>
      </c>
      <c r="I13" s="211">
        <v>79</v>
      </c>
      <c r="J13" s="124">
        <f t="shared" si="1"/>
        <v>0.20626631853785901</v>
      </c>
      <c r="K13" s="211">
        <v>212</v>
      </c>
      <c r="L13" s="164" t="str">
        <f t="shared" si="2"/>
        <v>30 weeks 2 days</v>
      </c>
      <c r="M13" s="159">
        <v>63</v>
      </c>
      <c r="N13" s="159">
        <v>383</v>
      </c>
      <c r="O13" s="159">
        <v>70</v>
      </c>
      <c r="P13" s="8">
        <f t="shared" si="3"/>
        <v>0.18276762402088773</v>
      </c>
      <c r="Q13" s="211">
        <v>457</v>
      </c>
      <c r="R13" s="211">
        <v>40245</v>
      </c>
      <c r="S13" s="8">
        <f t="shared" si="4"/>
        <v>1.1355447881724438E-2</v>
      </c>
      <c r="T13" s="211">
        <v>2432</v>
      </c>
      <c r="U13" s="211">
        <v>40245</v>
      </c>
      <c r="V13" s="8">
        <f t="shared" si="5"/>
        <v>6.0429867064231584E-2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" customFormat="1" ht="15.75" customHeight="1" x14ac:dyDescent="0.3">
      <c r="A14" s="24" t="s">
        <v>11</v>
      </c>
      <c r="B14" s="158">
        <f>('Summary Statistics KPI 0'!B20)</f>
        <v>1255</v>
      </c>
      <c r="C14" s="159">
        <f>('Summary Statistics KPI 0'!C20)</f>
        <v>91</v>
      </c>
      <c r="D14" s="159">
        <f>('Summary Statistics KPI 0'!E20)</f>
        <v>93</v>
      </c>
      <c r="E14" s="159">
        <f>('Summary Statistics KPI 0'!G20)</f>
        <v>10</v>
      </c>
      <c r="F14" s="160">
        <f>('Summary Statistics KPI 0'!I20)</f>
        <v>1081</v>
      </c>
      <c r="G14" s="211">
        <v>35</v>
      </c>
      <c r="H14" s="124">
        <f t="shared" si="0"/>
        <v>3.2377428307123035E-2</v>
      </c>
      <c r="I14" s="211">
        <v>34</v>
      </c>
      <c r="J14" s="124">
        <f t="shared" si="1"/>
        <v>0.97142857142857142</v>
      </c>
      <c r="K14" s="211">
        <v>185</v>
      </c>
      <c r="L14" s="164" t="str">
        <f t="shared" si="2"/>
        <v>26 weeks 3 days</v>
      </c>
      <c r="M14" s="159">
        <v>46</v>
      </c>
      <c r="N14" s="159">
        <v>35</v>
      </c>
      <c r="O14" s="159">
        <v>38</v>
      </c>
      <c r="P14" s="8">
        <f t="shared" si="3"/>
        <v>1.0857142857142856</v>
      </c>
      <c r="Q14" s="211">
        <v>123</v>
      </c>
      <c r="R14" s="211">
        <v>1159</v>
      </c>
      <c r="S14" s="8">
        <f t="shared" si="4"/>
        <v>0.10612597066436583</v>
      </c>
      <c r="T14" s="211">
        <v>78</v>
      </c>
      <c r="U14" s="211">
        <v>1159</v>
      </c>
      <c r="V14" s="8">
        <f t="shared" si="5"/>
        <v>6.7299396031061262E-2</v>
      </c>
      <c r="W14" s="14"/>
      <c r="X14" s="198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" customFormat="1" ht="15.75" customHeight="1" x14ac:dyDescent="0.3">
      <c r="A15" s="24" t="s">
        <v>12</v>
      </c>
      <c r="B15" s="158">
        <f>('Summary Statistics KPI 0'!B21)</f>
        <v>1221</v>
      </c>
      <c r="C15" s="159">
        <f>('Summary Statistics KPI 0'!C21)</f>
        <v>113</v>
      </c>
      <c r="D15" s="159">
        <f>('Summary Statistics KPI 0'!E21)</f>
        <v>88</v>
      </c>
      <c r="E15" s="159">
        <f>('Summary Statistics KPI 0'!G21)</f>
        <v>34</v>
      </c>
      <c r="F15" s="160">
        <f>('Summary Statistics KPI 0'!I21)</f>
        <v>1054</v>
      </c>
      <c r="G15" s="211">
        <v>35</v>
      </c>
      <c r="H15" s="124">
        <f t="shared" si="0"/>
        <v>3.3206831119544589E-2</v>
      </c>
      <c r="I15" s="211">
        <v>20</v>
      </c>
      <c r="J15" s="124">
        <f t="shared" si="1"/>
        <v>0.5714285714285714</v>
      </c>
      <c r="K15" s="211">
        <v>160</v>
      </c>
      <c r="L15" s="164" t="str">
        <f t="shared" si="2"/>
        <v>22 weeks 6 days</v>
      </c>
      <c r="M15" s="159">
        <v>58</v>
      </c>
      <c r="N15" s="159">
        <v>35</v>
      </c>
      <c r="O15" s="159">
        <v>16</v>
      </c>
      <c r="P15" s="8">
        <f t="shared" si="3"/>
        <v>0.45714285714285713</v>
      </c>
      <c r="Q15" s="211">
        <v>37</v>
      </c>
      <c r="R15" s="211">
        <v>1127</v>
      </c>
      <c r="S15" s="8">
        <f t="shared" si="4"/>
        <v>3.2830523513753325E-2</v>
      </c>
      <c r="T15" s="211">
        <v>73</v>
      </c>
      <c r="U15" s="211">
        <v>1127</v>
      </c>
      <c r="V15" s="8">
        <f t="shared" si="5"/>
        <v>6.4773735581188999E-2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" customFormat="1" ht="15.75" customHeight="1" x14ac:dyDescent="0.3">
      <c r="A16" s="24" t="s">
        <v>13</v>
      </c>
      <c r="B16" s="158">
        <f>('Summary Statistics KPI 0'!B22)</f>
        <v>24975</v>
      </c>
      <c r="C16" s="159">
        <f>('Summary Statistics KPI 0'!C22)</f>
        <v>1992</v>
      </c>
      <c r="D16" s="159">
        <f>('Summary Statistics KPI 0'!E22)</f>
        <v>1858</v>
      </c>
      <c r="E16" s="159">
        <f>('Summary Statistics KPI 0'!G22)</f>
        <v>354</v>
      </c>
      <c r="F16" s="160">
        <f>('Summary Statistics KPI 0'!I22)</f>
        <v>21479</v>
      </c>
      <c r="G16" s="211">
        <v>472</v>
      </c>
      <c r="H16" s="124">
        <f t="shared" si="0"/>
        <v>2.1974952278970158E-2</v>
      </c>
      <c r="I16" s="211">
        <v>13</v>
      </c>
      <c r="J16" s="124">
        <f t="shared" si="1"/>
        <v>2.7542372881355932E-2</v>
      </c>
      <c r="K16" s="211">
        <v>116</v>
      </c>
      <c r="L16" s="164" t="str">
        <f t="shared" si="2"/>
        <v>16 weeks 4 days</v>
      </c>
      <c r="M16" s="159">
        <v>49</v>
      </c>
      <c r="N16" s="159">
        <v>472</v>
      </c>
      <c r="O16" s="159">
        <v>12</v>
      </c>
      <c r="P16" s="8">
        <f t="shared" si="3"/>
        <v>2.5423728813559324E-2</v>
      </c>
      <c r="Q16" s="211">
        <v>213</v>
      </c>
      <c r="R16" s="211">
        <v>23021</v>
      </c>
      <c r="S16" s="8">
        <f t="shared" si="4"/>
        <v>9.2524217019243297E-3</v>
      </c>
      <c r="T16" s="211">
        <v>1542</v>
      </c>
      <c r="U16" s="211">
        <v>23021</v>
      </c>
      <c r="V16" s="8">
        <f t="shared" si="5"/>
        <v>6.698232048998741E-2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" customFormat="1" ht="15.75" customHeight="1" thickBot="1" x14ac:dyDescent="0.35">
      <c r="A17" s="114" t="s">
        <v>21</v>
      </c>
      <c r="B17" s="161">
        <f>('Summary Statistics KPI 0'!B23)</f>
        <v>1525</v>
      </c>
      <c r="C17" s="162">
        <f>('Summary Statistics KPI 0'!C23)</f>
        <v>178</v>
      </c>
      <c r="D17" s="162">
        <f>('Summary Statistics KPI 0'!E23)</f>
        <v>105</v>
      </c>
      <c r="E17" s="162">
        <f>('Summary Statistics KPI 0'!G23)</f>
        <v>28</v>
      </c>
      <c r="F17" s="163">
        <f>('Summary Statistics KPI 0'!I23)</f>
        <v>1270</v>
      </c>
      <c r="G17" s="212">
        <v>22</v>
      </c>
      <c r="H17" s="148">
        <f t="shared" si="0"/>
        <v>1.7322834645669291E-2</v>
      </c>
      <c r="I17" s="212">
        <v>20</v>
      </c>
      <c r="J17" s="148">
        <f t="shared" si="1"/>
        <v>0.90909090909090906</v>
      </c>
      <c r="K17" s="212">
        <v>202</v>
      </c>
      <c r="L17" s="165" t="str">
        <f t="shared" si="2"/>
        <v>28 weeks 6 days</v>
      </c>
      <c r="M17" s="162">
        <v>63</v>
      </c>
      <c r="N17" s="162">
        <v>22</v>
      </c>
      <c r="O17" s="162">
        <v>24</v>
      </c>
      <c r="P17" s="13">
        <f t="shared" si="3"/>
        <v>1.0909090909090908</v>
      </c>
      <c r="Q17" s="212">
        <v>114</v>
      </c>
      <c r="R17" s="212">
        <v>1410</v>
      </c>
      <c r="S17" s="13">
        <f t="shared" si="4"/>
        <v>8.085106382978724E-2</v>
      </c>
      <c r="T17" s="212">
        <v>140</v>
      </c>
      <c r="U17" s="212">
        <v>1410</v>
      </c>
      <c r="V17" s="13">
        <f t="shared" si="5"/>
        <v>9.9290780141843976E-2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136" customFormat="1" ht="15.75" customHeight="1" thickBot="1" x14ac:dyDescent="0.3">
      <c r="A18" s="115" t="s">
        <v>60</v>
      </c>
      <c r="B18" s="111">
        <f>('Summary Statistics KPI 0'!B24)</f>
        <v>315218</v>
      </c>
      <c r="C18" s="112">
        <f>('Summary Statistics KPI 0'!C24)</f>
        <v>25304</v>
      </c>
      <c r="D18" s="112">
        <f>('Summary Statistics KPI 0'!E24)</f>
        <v>24049</v>
      </c>
      <c r="E18" s="112">
        <f>('Summary Statistics KPI 0'!G24)</f>
        <v>5148</v>
      </c>
      <c r="F18" s="113">
        <f>('Summary Statistics KPI 0'!I24)</f>
        <v>271013</v>
      </c>
      <c r="G18" s="213">
        <f>SUM(G4:G17)</f>
        <v>4092</v>
      </c>
      <c r="H18" s="248">
        <f t="shared" si="0"/>
        <v>1.5098906694512809E-2</v>
      </c>
      <c r="I18" s="214">
        <v>8</v>
      </c>
      <c r="J18" s="248">
        <f t="shared" si="1"/>
        <v>1.9550342130987292E-3</v>
      </c>
      <c r="K18" s="112">
        <f>MAX(K4:K17)</f>
        <v>212</v>
      </c>
      <c r="L18" s="166" t="str">
        <f t="shared" si="2"/>
        <v>30 weeks 2 days</v>
      </c>
      <c r="M18" s="249">
        <f>AVERAGE(M4:M17)</f>
        <v>58.785714285714285</v>
      </c>
      <c r="N18" s="213">
        <f>SUM(N4:N17)</f>
        <v>4092</v>
      </c>
      <c r="O18" s="214">
        <f>SUM(O4:O17)</f>
        <v>1884</v>
      </c>
      <c r="P18" s="152">
        <f t="shared" si="3"/>
        <v>0.46041055718475071</v>
      </c>
      <c r="Q18" s="213">
        <f>SUM(Q4:Q17)</f>
        <v>11972</v>
      </c>
      <c r="R18" s="214">
        <f>SUM(R4:R17)</f>
        <v>289588</v>
      </c>
      <c r="S18" s="152">
        <f t="shared" si="4"/>
        <v>4.1341492050775586E-2</v>
      </c>
      <c r="T18" s="213">
        <f>SUM(T4:T17)</f>
        <v>18575</v>
      </c>
      <c r="U18" s="214">
        <f>SUM(U4:U17)</f>
        <v>289588</v>
      </c>
      <c r="V18" s="152">
        <f t="shared" si="5"/>
        <v>6.4142851223116984E-2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</row>
    <row r="19" spans="1:35" s="15" customFormat="1" x14ac:dyDescent="0.25">
      <c r="H19" s="19"/>
      <c r="J19" s="20"/>
      <c r="N19"/>
      <c r="O19"/>
      <c r="P19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87" spans="1:6" x14ac:dyDescent="0.25">
      <c r="A87" s="16"/>
      <c r="B87" s="16"/>
      <c r="C87" s="16"/>
      <c r="D87" s="16"/>
      <c r="E87" s="16"/>
      <c r="F87" s="16"/>
    </row>
    <row r="88" spans="1:6" ht="13" x14ac:dyDescent="0.3">
      <c r="A88" s="17"/>
      <c r="B88" s="17"/>
      <c r="C88" s="17"/>
      <c r="D88" s="17"/>
      <c r="E88" s="17"/>
      <c r="F88" s="17"/>
    </row>
    <row r="89" spans="1:6" ht="13" x14ac:dyDescent="0.3">
      <c r="A89" s="18"/>
      <c r="B89" s="18"/>
      <c r="C89" s="18"/>
      <c r="D89" s="18"/>
      <c r="E89" s="18"/>
      <c r="F89" s="18"/>
    </row>
    <row r="90" spans="1:6" ht="13" x14ac:dyDescent="0.3">
      <c r="A90" s="18"/>
      <c r="B90" s="18"/>
      <c r="C90" s="18"/>
      <c r="D90" s="18"/>
      <c r="E90" s="18"/>
      <c r="F90" s="18"/>
    </row>
    <row r="91" spans="1:6" ht="13" x14ac:dyDescent="0.3">
      <c r="A91" s="18"/>
      <c r="B91" s="18"/>
      <c r="C91" s="18"/>
      <c r="D91" s="18"/>
      <c r="E91" s="18"/>
      <c r="F91" s="18"/>
    </row>
    <row r="92" spans="1:6" ht="13" x14ac:dyDescent="0.3">
      <c r="A92" s="18"/>
      <c r="B92" s="18"/>
      <c r="C92" s="18"/>
      <c r="D92" s="18"/>
      <c r="E92" s="18"/>
      <c r="F92" s="18"/>
    </row>
    <row r="93" spans="1:6" ht="13" x14ac:dyDescent="0.3">
      <c r="A93" s="18"/>
      <c r="B93" s="18"/>
      <c r="C93" s="18"/>
      <c r="D93" s="18"/>
      <c r="E93" s="18"/>
      <c r="F93" s="18"/>
    </row>
    <row r="94" spans="1:6" ht="13" x14ac:dyDescent="0.3">
      <c r="A94" s="18"/>
      <c r="B94" s="18"/>
      <c r="C94" s="18"/>
      <c r="D94" s="18"/>
      <c r="E94" s="18"/>
      <c r="F94" s="18"/>
    </row>
    <row r="95" spans="1:6" ht="13" x14ac:dyDescent="0.3">
      <c r="A95" s="18"/>
      <c r="B95" s="18"/>
      <c r="C95" s="18"/>
      <c r="D95" s="18"/>
      <c r="E95" s="18"/>
      <c r="F95" s="18"/>
    </row>
    <row r="96" spans="1:6" ht="13" x14ac:dyDescent="0.3">
      <c r="A96" s="18"/>
      <c r="B96" s="18"/>
      <c r="C96" s="18"/>
      <c r="D96" s="18"/>
      <c r="E96" s="18"/>
      <c r="F96" s="18"/>
    </row>
    <row r="97" spans="1:6" ht="13" x14ac:dyDescent="0.3">
      <c r="A97" s="18"/>
      <c r="B97" s="18"/>
      <c r="C97" s="18"/>
      <c r="D97" s="18"/>
      <c r="E97" s="18"/>
      <c r="F97" s="18"/>
    </row>
    <row r="98" spans="1:6" ht="13" x14ac:dyDescent="0.3">
      <c r="A98" s="18"/>
      <c r="B98" s="18"/>
      <c r="C98" s="18"/>
      <c r="D98" s="18"/>
      <c r="E98" s="18"/>
      <c r="F98" s="18"/>
    </row>
    <row r="99" spans="1:6" ht="13" x14ac:dyDescent="0.3">
      <c r="A99" s="18"/>
      <c r="B99" s="18"/>
      <c r="C99" s="18"/>
      <c r="D99" s="18"/>
      <c r="E99" s="18"/>
      <c r="F99" s="18"/>
    </row>
    <row r="100" spans="1:6" ht="13" x14ac:dyDescent="0.3">
      <c r="A100" s="18"/>
      <c r="B100" s="18"/>
      <c r="C100" s="18"/>
      <c r="D100" s="18"/>
      <c r="E100" s="18"/>
      <c r="F100" s="18"/>
    </row>
    <row r="101" spans="1:6" ht="13" x14ac:dyDescent="0.3">
      <c r="A101" s="18"/>
      <c r="B101" s="18"/>
      <c r="C101" s="18"/>
      <c r="D101" s="18"/>
      <c r="E101" s="18"/>
      <c r="F101" s="18"/>
    </row>
    <row r="102" spans="1:6" ht="13" x14ac:dyDescent="0.3">
      <c r="A102" s="18"/>
      <c r="B102" s="18"/>
      <c r="C102" s="18"/>
      <c r="D102" s="18"/>
      <c r="E102" s="18"/>
      <c r="F102" s="18"/>
    </row>
    <row r="103" spans="1:6" ht="13" x14ac:dyDescent="0.3">
      <c r="A103" s="18"/>
      <c r="B103" s="18"/>
      <c r="C103" s="18"/>
      <c r="D103" s="18"/>
      <c r="E103" s="18"/>
      <c r="F103" s="18"/>
    </row>
  </sheetData>
  <mergeCells count="7">
    <mergeCell ref="T1:V1"/>
    <mergeCell ref="G1:M1"/>
    <mergeCell ref="K2:M2"/>
    <mergeCell ref="B1:F1"/>
    <mergeCell ref="N1:P1"/>
    <mergeCell ref="N2:P2"/>
    <mergeCell ref="Q1:S1"/>
  </mergeCells>
  <phoneticPr fontId="0" type="noConversion"/>
  <printOptions horizontalCentered="1" verticalCentered="1"/>
  <pageMargins left="0.19685039370078741" right="0.19685039370078741" top="0.62992125984251968" bottom="0.39370078740157483" header="0.23622047244094491" footer="0.23622047244094491"/>
  <pageSetup paperSize="9" scale="66" orientation="landscape" r:id="rId1"/>
  <headerFooter alignWithMargins="0">
    <oddHeader xml:space="preserve">&amp;C&amp;11Diabetic Retinopathy Screening - &amp;A
 </oddHeader>
    <oddFooter>&amp;C&amp;Z&amp;F&amp;R&amp;P/&amp;N</oddFooter>
  </headerFooter>
  <rowBreaks count="1" manualBreakCount="1">
    <brk id="19" max="12" man="1"/>
  </rowBreaks>
  <ignoredErrors>
    <ignoredError sqref="J18 H18 P18 S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Statistics KPI 0</vt:lpstr>
      <vt:lpstr>Screening uptake KPIs 1-7</vt:lpstr>
      <vt:lpstr>Screening performance KPIs 8-9</vt:lpstr>
      <vt:lpstr>Screening outcomes KPIs 10-13</vt:lpstr>
      <vt:lpstr>Ophtalmology perf KPIs 14-17</vt:lpstr>
      <vt:lpstr>'Ophtalmology perf KPIs 14-17'!Print_Area</vt:lpstr>
      <vt:lpstr>'Screening outcomes KPIs 10-13'!Print_Area</vt:lpstr>
      <vt:lpstr>'Screening performance KPIs 8-9'!Print_Area</vt:lpstr>
      <vt:lpstr>'Screening uptake KPIs 1-7'!Print_Area</vt:lpstr>
      <vt:lpstr>'Summary Statistics KPI 0'!Print_Area</vt:lpstr>
    </vt:vector>
  </TitlesOfParts>
  <Company>NHSG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mullee</dc:creator>
  <cp:lastModifiedBy>Jodie Meggison</cp:lastModifiedBy>
  <cp:lastPrinted>2015-05-07T13:18:28Z</cp:lastPrinted>
  <dcterms:created xsi:type="dcterms:W3CDTF">2011-06-17T13:29:52Z</dcterms:created>
  <dcterms:modified xsi:type="dcterms:W3CDTF">2019-11-26T17:03:18Z</dcterms:modified>
</cp:coreProperties>
</file>