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" windowWidth="9890" windowHeight="5400" tabRatio="950"/>
  </bookViews>
  <sheets>
    <sheet name="Summary Statistics KPI 0" sheetId="6" r:id="rId1"/>
    <sheet name="Screening uptake KPIs 1-7" sheetId="5" r:id="rId2"/>
    <sheet name="Screening performance KPIs 8-9" sheetId="4" r:id="rId3"/>
    <sheet name="Screening outcomes KPIs 10-13" sheetId="3" r:id="rId4"/>
    <sheet name="Ophtalmology perf KPIs 14-17" sheetId="2" r:id="rId5"/>
  </sheets>
  <definedNames>
    <definedName name="_xlnm._FilterDatabase" localSheetId="4" hidden="1">'Ophtalmology perf KPIs 14-17'!#REF!</definedName>
    <definedName name="_xlnm.Print_Area" localSheetId="4">'Ophtalmology perf KPIs 14-17'!$A$1:$V$18</definedName>
    <definedName name="_xlnm.Print_Area" localSheetId="3">'Screening outcomes KPIs 10-13'!$A$1:$Q$17</definedName>
    <definedName name="_xlnm.Print_Area" localSheetId="2">'Screening performance KPIs 8-9'!$A$1:$U$19</definedName>
    <definedName name="_xlnm.Print_Area" localSheetId="1">'Screening uptake KPIs 1-7'!$A$1:$AE$19</definedName>
    <definedName name="_xlnm.Print_Area" localSheetId="0">'Summary Statistics KPI 0'!$A$1:$N$50</definedName>
  </definedNames>
  <calcPr calcId="145621"/>
</workbook>
</file>

<file path=xl/calcChain.xml><?xml version="1.0" encoding="utf-8"?>
<calcChain xmlns="http://schemas.openxmlformats.org/spreadsheetml/2006/main">
  <c r="O4" i="3" l="1"/>
  <c r="O5" i="3"/>
  <c r="O6" i="3"/>
  <c r="O7" i="3"/>
  <c r="O8" i="3"/>
  <c r="O9" i="3"/>
  <c r="O10" i="3"/>
  <c r="O11" i="3"/>
  <c r="O12" i="3"/>
  <c r="O13" i="3"/>
  <c r="O14" i="3"/>
  <c r="O15" i="3"/>
  <c r="O16" i="3"/>
  <c r="O3" i="3"/>
  <c r="S4" i="2"/>
  <c r="AC19" i="5"/>
  <c r="K18" i="2"/>
  <c r="L18" i="2" s="1"/>
  <c r="M18" i="2"/>
  <c r="N18" i="2"/>
  <c r="G18" i="2"/>
  <c r="Q19" i="4"/>
  <c r="U18" i="2"/>
  <c r="T18" i="2"/>
  <c r="R18" i="2"/>
  <c r="Q18" i="2"/>
  <c r="O18" i="2"/>
  <c r="P17" i="3"/>
  <c r="N17" i="3"/>
  <c r="O17" i="3" s="1"/>
  <c r="M17" i="3"/>
  <c r="K17" i="3"/>
  <c r="I17" i="3"/>
  <c r="G17" i="3"/>
  <c r="T19" i="4"/>
  <c r="G19" i="4"/>
  <c r="AD19" i="5"/>
  <c r="AA19" i="5"/>
  <c r="Z19" i="5"/>
  <c r="X19" i="5"/>
  <c r="W19" i="5"/>
  <c r="U19" i="5"/>
  <c r="S19" i="5"/>
  <c r="Q19" i="5"/>
  <c r="O19" i="5"/>
  <c r="L19" i="5"/>
  <c r="J19" i="5"/>
  <c r="I19" i="5"/>
  <c r="B24" i="6"/>
  <c r="B19" i="5" s="1"/>
  <c r="C24" i="6"/>
  <c r="C60" i="6" s="1"/>
  <c r="E24" i="6"/>
  <c r="D60" i="6" s="1"/>
  <c r="G24" i="6"/>
  <c r="E18" i="2" s="1"/>
  <c r="I24" i="6"/>
  <c r="B60" i="6" s="1"/>
  <c r="AE18" i="5"/>
  <c r="AE17" i="5"/>
  <c r="AE16" i="5"/>
  <c r="AE15" i="5"/>
  <c r="AE14" i="5"/>
  <c r="AE13" i="5"/>
  <c r="AE12" i="5"/>
  <c r="AE11" i="5"/>
  <c r="AE10" i="5"/>
  <c r="AE9" i="5"/>
  <c r="AE8" i="5"/>
  <c r="AE7" i="5"/>
  <c r="AE6" i="5"/>
  <c r="AE5" i="5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4" i="2"/>
  <c r="F4" i="3"/>
  <c r="F5" i="3"/>
  <c r="H5" i="3" s="1"/>
  <c r="F6" i="3"/>
  <c r="H6" i="3" s="1"/>
  <c r="F7" i="3"/>
  <c r="F8" i="3"/>
  <c r="H8" i="3" s="1"/>
  <c r="F9" i="3"/>
  <c r="H9" i="3" s="1"/>
  <c r="F10" i="3"/>
  <c r="H10" i="3" s="1"/>
  <c r="F11" i="3"/>
  <c r="F12" i="3"/>
  <c r="H12" i="3" s="1"/>
  <c r="F13" i="3"/>
  <c r="H13" i="3" s="1"/>
  <c r="F14" i="3"/>
  <c r="F15" i="3"/>
  <c r="F16" i="3"/>
  <c r="H16" i="3" s="1"/>
  <c r="F3" i="3"/>
  <c r="H3" i="3" s="1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3" i="3"/>
  <c r="R19" i="4"/>
  <c r="S19" i="4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4" i="2"/>
  <c r="F5" i="2"/>
  <c r="H5" i="2" s="1"/>
  <c r="F6" i="2"/>
  <c r="H6" i="2" s="1"/>
  <c r="F7" i="2"/>
  <c r="H7" i="2" s="1"/>
  <c r="F8" i="2"/>
  <c r="H8" i="2" s="1"/>
  <c r="F9" i="2"/>
  <c r="H9" i="2" s="1"/>
  <c r="F10" i="2"/>
  <c r="H10" i="2" s="1"/>
  <c r="F11" i="2"/>
  <c r="H11" i="2" s="1"/>
  <c r="F12" i="2"/>
  <c r="H12" i="2"/>
  <c r="F13" i="2"/>
  <c r="H13" i="2" s="1"/>
  <c r="F14" i="2"/>
  <c r="H14" i="2" s="1"/>
  <c r="F15" i="2"/>
  <c r="H15" i="2" s="1"/>
  <c r="F16" i="2"/>
  <c r="H16" i="2" s="1"/>
  <c r="F17" i="2"/>
  <c r="H17" i="2" s="1"/>
  <c r="F4" i="2"/>
  <c r="H4" i="2" s="1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4" i="2"/>
  <c r="H11" i="3"/>
  <c r="H14" i="3"/>
  <c r="H15" i="3"/>
  <c r="B5" i="5"/>
  <c r="F6" i="5"/>
  <c r="R6" i="5" s="1"/>
  <c r="F7" i="5"/>
  <c r="R7" i="5" s="1"/>
  <c r="F8" i="5"/>
  <c r="R8" i="5" s="1"/>
  <c r="F9" i="5"/>
  <c r="M9" i="5" s="1"/>
  <c r="F10" i="5"/>
  <c r="T10" i="5" s="1"/>
  <c r="F11" i="5"/>
  <c r="K11" i="5" s="1"/>
  <c r="F12" i="5"/>
  <c r="K12" i="5" s="1"/>
  <c r="F13" i="5"/>
  <c r="R13" i="5" s="1"/>
  <c r="F14" i="5"/>
  <c r="M14" i="5" s="1"/>
  <c r="F15" i="5"/>
  <c r="T15" i="5" s="1"/>
  <c r="F16" i="5"/>
  <c r="R16" i="5" s="1"/>
  <c r="F17" i="5"/>
  <c r="R17" i="5" s="1"/>
  <c r="F18" i="5"/>
  <c r="R18" i="5" s="1"/>
  <c r="F19" i="5"/>
  <c r="F5" i="5"/>
  <c r="V5" i="5" s="1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AB18" i="5"/>
  <c r="Y18" i="5"/>
  <c r="AB17" i="5"/>
  <c r="Y17" i="5"/>
  <c r="AB16" i="5"/>
  <c r="Y16" i="5"/>
  <c r="AB15" i="5"/>
  <c r="Y15" i="5"/>
  <c r="AB14" i="5"/>
  <c r="Y14" i="5"/>
  <c r="AB13" i="5"/>
  <c r="Y13" i="5"/>
  <c r="AB12" i="5"/>
  <c r="Y12" i="5"/>
  <c r="AB11" i="5"/>
  <c r="Y11" i="5"/>
  <c r="AB10" i="5"/>
  <c r="Y10" i="5"/>
  <c r="AB9" i="5"/>
  <c r="Y9" i="5"/>
  <c r="AB8" i="5"/>
  <c r="Y8" i="5"/>
  <c r="AB7" i="5"/>
  <c r="Y7" i="5"/>
  <c r="AB6" i="5"/>
  <c r="Y6" i="5"/>
  <c r="AB5" i="5"/>
  <c r="Y5" i="5"/>
  <c r="Q4" i="3"/>
  <c r="Q5" i="3"/>
  <c r="Q6" i="3"/>
  <c r="Q7" i="3"/>
  <c r="Q8" i="3"/>
  <c r="Q9" i="3"/>
  <c r="Q10" i="3"/>
  <c r="Q11" i="3"/>
  <c r="Q12" i="3"/>
  <c r="Q13" i="3"/>
  <c r="Q14" i="3"/>
  <c r="Q15" i="3"/>
  <c r="Q16" i="3"/>
  <c r="Q3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3" i="3"/>
  <c r="H4" i="3"/>
  <c r="H7" i="3"/>
  <c r="O19" i="4"/>
  <c r="N19" i="4"/>
  <c r="L19" i="4"/>
  <c r="K19" i="4"/>
  <c r="I19" i="4"/>
  <c r="H19" i="4"/>
  <c r="J19" i="4" s="1"/>
  <c r="U6" i="4"/>
  <c r="U7" i="4"/>
  <c r="U8" i="4"/>
  <c r="U9" i="4"/>
  <c r="U10" i="4"/>
  <c r="U11" i="4"/>
  <c r="U12" i="4"/>
  <c r="U13" i="4"/>
  <c r="U14" i="4"/>
  <c r="U15" i="4"/>
  <c r="U16" i="4"/>
  <c r="U17" i="4"/>
  <c r="U18" i="4"/>
  <c r="U5" i="4"/>
  <c r="P5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5" i="4"/>
  <c r="V13" i="5"/>
  <c r="D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M19" i="4" l="1"/>
  <c r="R10" i="5"/>
  <c r="C17" i="3"/>
  <c r="K15" i="5"/>
  <c r="K5" i="5"/>
  <c r="H24" i="6"/>
  <c r="E60" i="6"/>
  <c r="E19" i="5"/>
  <c r="F24" i="6"/>
  <c r="D19" i="5"/>
  <c r="P19" i="4"/>
  <c r="P18" i="2"/>
  <c r="J18" i="2"/>
  <c r="L17" i="3"/>
  <c r="V16" i="5"/>
  <c r="C63" i="6"/>
  <c r="J24" i="6"/>
  <c r="V6" i="5"/>
  <c r="T5" i="5"/>
  <c r="T16" i="5"/>
  <c r="T19" i="5"/>
  <c r="P11" i="5"/>
  <c r="V15" i="5"/>
  <c r="V8" i="5"/>
  <c r="P5" i="5"/>
  <c r="K8" i="5"/>
  <c r="M8" i="5"/>
  <c r="M17" i="5"/>
  <c r="T8" i="5"/>
  <c r="T18" i="5"/>
  <c r="K13" i="5"/>
  <c r="P12" i="5"/>
  <c r="T12" i="5"/>
  <c r="R9" i="5"/>
  <c r="R12" i="5"/>
  <c r="M12" i="5"/>
  <c r="N12" i="5" s="1"/>
  <c r="K9" i="5"/>
  <c r="N9" i="5" s="1"/>
  <c r="M13" i="5"/>
  <c r="T17" i="5"/>
  <c r="T13" i="5"/>
  <c r="K17" i="5"/>
  <c r="P13" i="5"/>
  <c r="P9" i="5"/>
  <c r="T9" i="5"/>
  <c r="P17" i="5"/>
  <c r="T6" i="5"/>
  <c r="V10" i="5"/>
  <c r="P18" i="5"/>
  <c r="B63" i="6"/>
  <c r="P8" i="5"/>
  <c r="M5" i="5"/>
  <c r="P15" i="5"/>
  <c r="R11" i="5"/>
  <c r="K7" i="5"/>
  <c r="T7" i="5"/>
  <c r="M11" i="5"/>
  <c r="N11" i="5" s="1"/>
  <c r="M7" i="5"/>
  <c r="P7" i="5"/>
  <c r="V7" i="5"/>
  <c r="V12" i="5"/>
  <c r="V11" i="5"/>
  <c r="M16" i="5"/>
  <c r="M15" i="5"/>
  <c r="N15" i="5" s="1"/>
  <c r="T11" i="5"/>
  <c r="R15" i="5"/>
  <c r="R5" i="5"/>
  <c r="P16" i="5"/>
  <c r="F18" i="2"/>
  <c r="H18" i="2" s="1"/>
  <c r="F17" i="3"/>
  <c r="D17" i="3"/>
  <c r="D18" i="2"/>
  <c r="C19" i="5"/>
  <c r="C18" i="2"/>
  <c r="D24" i="6"/>
  <c r="J17" i="3"/>
  <c r="Q17" i="3"/>
  <c r="H17" i="3"/>
  <c r="U19" i="4"/>
  <c r="AB19" i="5"/>
  <c r="Y19" i="5"/>
  <c r="V14" i="5"/>
  <c r="V18" i="5"/>
  <c r="K14" i="5"/>
  <c r="N14" i="5" s="1"/>
  <c r="M10" i="5"/>
  <c r="P14" i="5"/>
  <c r="R14" i="5"/>
  <c r="K18" i="5"/>
  <c r="M18" i="5"/>
  <c r="P6" i="5"/>
  <c r="T14" i="5"/>
  <c r="M6" i="5"/>
  <c r="K10" i="5"/>
  <c r="K6" i="5"/>
  <c r="V9" i="5"/>
  <c r="V18" i="2"/>
  <c r="P19" i="5"/>
  <c r="K19" i="5"/>
  <c r="M19" i="5"/>
  <c r="S18" i="2"/>
  <c r="V19" i="5"/>
  <c r="R19" i="5"/>
  <c r="AE19" i="5"/>
  <c r="V17" i="5"/>
  <c r="P10" i="5"/>
  <c r="N5" i="5" l="1"/>
  <c r="N17" i="5"/>
  <c r="N8" i="5"/>
  <c r="N7" i="5"/>
  <c r="N13" i="5"/>
  <c r="N10" i="5"/>
  <c r="N6" i="5"/>
  <c r="N18" i="5"/>
  <c r="N19" i="5"/>
</calcChain>
</file>

<file path=xl/comments1.xml><?xml version="1.0" encoding="utf-8"?>
<comments xmlns="http://schemas.openxmlformats.org/spreadsheetml/2006/main">
  <authors>
    <author>Mike Black</author>
  </authors>
  <commentList>
    <comment ref="N16" authorId="0">
      <text>
        <r>
          <rPr>
            <b/>
            <sz val="8"/>
            <color indexed="81"/>
            <rFont val="Tahoma"/>
            <family val="2"/>
          </rPr>
          <t>Mike Black:</t>
        </r>
        <r>
          <rPr>
            <sz val="8"/>
            <color indexed="81"/>
            <rFont val="Tahoma"/>
            <family val="2"/>
          </rPr>
          <t xml:space="preserve">
NHS Shetland actually have a low DNA rate. No rate is entered because of the calculation used.   </t>
        </r>
      </text>
    </comment>
  </commentList>
</comments>
</file>

<file path=xl/sharedStrings.xml><?xml version="1.0" encoding="utf-8"?>
<sst xmlns="http://schemas.openxmlformats.org/spreadsheetml/2006/main" count="253" uniqueCount="140">
  <si>
    <t xml:space="preserve">KPI 0: Summary Statistics </t>
  </si>
  <si>
    <t xml:space="preserve">Total Population (TP) </t>
  </si>
  <si>
    <t xml:space="preserve">Borders </t>
  </si>
  <si>
    <t xml:space="preserve">Dumfries and Galloway </t>
  </si>
  <si>
    <t xml:space="preserve">Fife </t>
  </si>
  <si>
    <t xml:space="preserve">Forth Valley </t>
  </si>
  <si>
    <t xml:space="preserve">Grampian </t>
  </si>
  <si>
    <t xml:space="preserve">Greater Glasgow </t>
  </si>
  <si>
    <t xml:space="preserve">Highland </t>
  </si>
  <si>
    <t xml:space="preserve">Lanarkshire </t>
  </si>
  <si>
    <t xml:space="preserve">Lothian </t>
  </si>
  <si>
    <t xml:space="preserve">Orkney </t>
  </si>
  <si>
    <t xml:space="preserve">Shetland </t>
  </si>
  <si>
    <t xml:space="preserve">Tayside </t>
  </si>
  <si>
    <t xml:space="preserve">Temporarily suspended (TS) </t>
  </si>
  <si>
    <t xml:space="preserve">Temporarily unavailable (TU) </t>
  </si>
  <si>
    <t xml:space="preserve">Eligible Population (EP = TP-TS-PS+TU) </t>
  </si>
  <si>
    <t xml:space="preserve">Screening population (SP) </t>
  </si>
  <si>
    <t>Board of treatment</t>
  </si>
  <si>
    <t xml:space="preserve">Permanently suspended (PS) </t>
  </si>
  <si>
    <t xml:space="preserve">Ayrshire &amp; Arran </t>
  </si>
  <si>
    <t xml:space="preserve">Western Isles </t>
  </si>
  <si>
    <t xml:space="preserve">Patients with an outcome of 'Refer to Ophthalmology ' in the first 6 month of the interval (RO) </t>
  </si>
  <si>
    <t xml:space="preserve">Average of the number of days to Ophthalmology  examination (ADOE) </t>
  </si>
  <si>
    <t>KPI 16: Ophthalmology attendance rate</t>
  </si>
  <si>
    <t xml:space="preserve">KPI 17: Ophthalmology suspensions rate </t>
  </si>
  <si>
    <t>People temporarily suspended from screening for reason of "under the care of Ophthalmologist" (UCO)</t>
  </si>
  <si>
    <t xml:space="preserve">People with last result 'observable' in the first 6 month of the interval (POR) </t>
  </si>
  <si>
    <t xml:space="preserve">People within POR who commenced an examination within 6 month (PC6M) </t>
  </si>
  <si>
    <t xml:space="preserve">KPI 11: Six Month Recall result rate </t>
  </si>
  <si>
    <t xml:space="preserve">KPI 12: Six Month recall rescreen rate </t>
  </si>
  <si>
    <t xml:space="preserve">KPI 13: Referable Result rate </t>
  </si>
  <si>
    <t xml:space="preserve">KPI 7A: Annual photographic technical failure rate </t>
  </si>
  <si>
    <t xml:space="preserve">Photographic screenings (PS) </t>
  </si>
  <si>
    <t xml:space="preserve">Slit lamp screenings (SL) </t>
  </si>
  <si>
    <t xml:space="preserve">Unsuccessful slit lamp screening episodes (USL) </t>
  </si>
  <si>
    <t xml:space="preserve">KPI 7: Annual overall technical failure rate </t>
  </si>
  <si>
    <t xml:space="preserve">Slit lamp screenings + photographic screenings (SLPS) </t>
  </si>
  <si>
    <t xml:space="preserve">Longest recorded number of days to written report (LRD) </t>
  </si>
  <si>
    <t xml:space="preserve">Average of the number of days to written report (AD) </t>
  </si>
  <si>
    <t xml:space="preserve">Median of the number of days to written report (MD) </t>
  </si>
  <si>
    <t xml:space="preserve">Number of episodes (NE) </t>
  </si>
  <si>
    <t xml:space="preserve">KPI 9: Written report success rate </t>
  </si>
  <si>
    <t xml:space="preserve">KPI 7B: Annual slit lamp technical failure rate </t>
  </si>
  <si>
    <t xml:space="preserve">KPI 8: Duration to written report </t>
  </si>
  <si>
    <t xml:space="preserve">People attending screening without invitation (API) </t>
  </si>
  <si>
    <t xml:space="preserve">People invited at least once (INV) </t>
  </si>
  <si>
    <t xml:space="preserve">People successfully screened (biennial) (BIE) </t>
  </si>
  <si>
    <t xml:space="preserve">KPI 6: Annual patient technical recall rate </t>
  </si>
  <si>
    <t xml:space="preserve">People unsuccessfully screened (UNSUC) </t>
  </si>
  <si>
    <t xml:space="preserve">People attending at least once (ATT) </t>
  </si>
  <si>
    <t xml:space="preserve">KPI 14: Ophthalmology Report Interval </t>
  </si>
  <si>
    <t>% (100 * TS/TP)</t>
  </si>
  <si>
    <t>% (100 * PS/TP)</t>
  </si>
  <si>
    <t>% (100*TU/TP)</t>
  </si>
  <si>
    <t>% (100*EP/TP)</t>
  </si>
  <si>
    <r>
      <t xml:space="preserve">Longest recorded to Ophthalmology  examination for the first qualifying episode 
</t>
    </r>
    <r>
      <rPr>
        <sz val="8"/>
        <rFont val="Arial"/>
        <family val="2"/>
      </rPr>
      <t>(based on 30 days/month - months&amp;days)</t>
    </r>
  </si>
  <si>
    <t xml:space="preserve">KPI 10: Twelve Month Recall result rate </t>
  </si>
  <si>
    <t xml:space="preserve">Unsuccessful photographic screening episodes (UPS) </t>
  </si>
  <si>
    <t>Longest recorded days to opthalmology examination for the first qualifying episode (LRDOE)</t>
  </si>
  <si>
    <t>Scotland</t>
  </si>
  <si>
    <t xml:space="preserve">% (100 * UNSUC / EP) </t>
  </si>
  <si>
    <t xml:space="preserve">% (100 * BIE / EP) </t>
  </si>
  <si>
    <t xml:space="preserve">% (100 * SUC2 /EP) </t>
  </si>
  <si>
    <t xml:space="preserve">% (100 * SUC1 /EP) </t>
  </si>
  <si>
    <t xml:space="preserve">% (100 * ATT / EP) </t>
  </si>
  <si>
    <t xml:space="preserve">% (100 * INV / (EP - API)) </t>
  </si>
  <si>
    <t xml:space="preserve">% (100 * UPS/ PS) </t>
  </si>
  <si>
    <t xml:space="preserve">% (100 * USL / SL) </t>
  </si>
  <si>
    <t xml:space="preserve">% (100 * USLUPS / SLPS) </t>
  </si>
  <si>
    <t xml:space="preserve">% (100 * E20D / NE) </t>
  </si>
  <si>
    <t>% (100* SSE/EP)</t>
  </si>
  <si>
    <t xml:space="preserve">% (100 * SEN / SSE) </t>
  </si>
  <si>
    <t xml:space="preserve">% (100 * SEO / SSE) </t>
  </si>
  <si>
    <t xml:space="preserve">%  (100 * PC6M / POR) </t>
  </si>
  <si>
    <t xml:space="preserve">% (100 * SER / SSE) </t>
  </si>
  <si>
    <t>% (100 * RO/EP)</t>
  </si>
  <si>
    <t>% (100 * SOE/RO)</t>
  </si>
  <si>
    <t>% (100 * REFT / RO)</t>
  </si>
  <si>
    <t xml:space="preserve">% (100 * OPHTH / SP) </t>
  </si>
  <si>
    <t xml:space="preserve">% (100 * UCO / SP) </t>
  </si>
  <si>
    <t xml:space="preserve">Episodes with &lt;= 20 working days to written report (E20D) </t>
  </si>
  <si>
    <t xml:space="preserve">Unsuccessful slit lamp screenings &amp; photographic screenings (USLUPS) </t>
  </si>
  <si>
    <t xml:space="preserve">Successful screening episodes (excl. ophthalmology examinations) (SSE) </t>
  </si>
  <si>
    <t xml:space="preserve">Screening episodes (excl. ophthalmology examinations) with observable result (SEO) </t>
  </si>
  <si>
    <t xml:space="preserve">Screening episodes (excl. ophthalmology examinations) with negative result (SEN) </t>
  </si>
  <si>
    <t xml:space="preserve">Screening episodes (excl. ophthalmology examinations) with referable result (SER) </t>
  </si>
  <si>
    <t xml:space="preserve">People who attended at least 1 Ophthalmology examination with a screening outcome of 'Re-screen in 12 months', 'Re-screen in 6 months' or 'Retain under Ophthalmology review' (OPHTH) </t>
  </si>
  <si>
    <t xml:space="preserve">Patients within RO with a subsequent Ophthalmology examination (SOE) </t>
  </si>
  <si>
    <r>
      <t xml:space="preserve">The proportion of those invited to screening by digital photography who have a digital screening outcome. = &gt; 80% (achievable)
= 70% (minimum) 
</t>
    </r>
    <r>
      <rPr>
        <b/>
        <sz val="10"/>
        <color indexed="12"/>
        <rFont val="Arial"/>
        <family val="2"/>
      </rPr>
      <t>National Standards</t>
    </r>
  </si>
  <si>
    <t xml:space="preserve">KPI 15: Ophthalmology review target </t>
  </si>
  <si>
    <t xml:space="preserve">Patients with an outcome of 'Refer to Ophthalmology ' in the first 6 months of the interval (RO) </t>
  </si>
  <si>
    <t xml:space="preserve">Number of these patients for whom the days to Ophthalmology examination is less than or equal to referral target (90 days) (REFT) </t>
  </si>
  <si>
    <r>
      <t xml:space="preserve">90 days (default value) </t>
    </r>
    <r>
      <rPr>
        <b/>
        <sz val="10"/>
        <color indexed="12"/>
        <rFont val="Arial"/>
        <family val="2"/>
      </rPr>
      <t>KPIs</t>
    </r>
    <r>
      <rPr>
        <sz val="10"/>
        <color indexed="10"/>
        <rFont val="Arial"/>
        <family val="2"/>
      </rPr>
      <t xml:space="preserve"> /
Time between notification of positive test and consultation: </t>
    </r>
    <r>
      <rPr>
        <u/>
        <sz val="10"/>
        <color indexed="10"/>
        <rFont val="Arial"/>
        <family val="2"/>
      </rPr>
      <t xml:space="preserve">Minimum standard: </t>
    </r>
    <r>
      <rPr>
        <sz val="10"/>
        <color indexed="10"/>
        <rFont val="Arial"/>
        <family val="2"/>
      </rPr>
      <t xml:space="preserve">
1.a. 60% &lt;2 weeks 
1.b. 95% &lt;4 weeks 
2.a. 70% &lt;13 weeks 
2.b. 95% &lt; 18 weeks
</t>
    </r>
    <r>
      <rPr>
        <u/>
        <sz val="10"/>
        <color indexed="10"/>
        <rFont val="Arial"/>
        <family val="2"/>
      </rPr>
      <t xml:space="preserve">Achievable standard: </t>
    </r>
    <r>
      <rPr>
        <sz val="10"/>
        <color indexed="10"/>
        <rFont val="Arial"/>
        <family val="2"/>
      </rPr>
      <t xml:space="preserve">
1. 95% &lt;2 weeks 
2. 95% &lt;13 weeks 
 </t>
    </r>
    <r>
      <rPr>
        <b/>
        <sz val="10"/>
        <color indexed="12"/>
        <rFont val="Arial"/>
        <family val="2"/>
      </rPr>
      <t>National Standards</t>
    </r>
  </si>
  <si>
    <t>KPI 0: National Summary Statistics</t>
  </si>
  <si>
    <t xml:space="preserve">As low as possible </t>
  </si>
  <si>
    <r>
      <t>Referral Target: Number of days entered by the user. The default value shall be 90 days</t>
    </r>
    <r>
      <rPr>
        <b/>
        <sz val="10"/>
        <color indexed="12"/>
        <rFont val="Arial"/>
        <family val="2"/>
      </rPr>
      <t xml:space="preserve"> KPIs</t>
    </r>
  </si>
  <si>
    <t xml:space="preserve">DNA rate </t>
  </si>
  <si>
    <t>Indicative DNA rate by %</t>
  </si>
  <si>
    <t xml:space="preserve">% (100 * INV - ATT) </t>
  </si>
  <si>
    <t>N/A</t>
  </si>
  <si>
    <t xml:space="preserve">People successfully screened in reporting period (SUC) </t>
  </si>
  <si>
    <t xml:space="preserve">People successfully screened in the prev year (ANN) </t>
  </si>
  <si>
    <t>HIS Target June 2016</t>
  </si>
  <si>
    <t xml:space="preserve">Call/Recall (HIS Standards 2) </t>
  </si>
  <si>
    <t>2.3 The invitation to attend diabetic retinopathy screening is offered to all newly diagnosed patients within 30 calendar days of the DRS Collaborative4 receiving notification.</t>
  </si>
  <si>
    <t>2.4 The date of the appointment offered to all newly diagnosed patients is within 90 calendar days of the DRS Collaborative4 receiving notification.</t>
  </si>
  <si>
    <t>Old Targets (QIS 2004)</t>
  </si>
  <si>
    <r>
      <t xml:space="preserve">NHS boards achieve an uptake of </t>
    </r>
    <r>
      <rPr>
        <b/>
        <sz val="10"/>
        <color rgb="FFFF0000"/>
        <rFont val="Arial"/>
        <family val="2"/>
      </rPr>
      <t>80%</t>
    </r>
    <r>
      <rPr>
        <b/>
        <sz val="10"/>
        <color rgb="FF0000FF"/>
        <rFont val="Arial"/>
        <family val="2"/>
      </rPr>
      <t xml:space="preserve"> pa. (HIS Standard 3.2)</t>
    </r>
  </si>
  <si>
    <r>
      <t xml:space="preserve">A minimum of </t>
    </r>
    <r>
      <rPr>
        <sz val="10"/>
        <color rgb="FFFF0000"/>
        <rFont val="Arial"/>
        <family val="2"/>
      </rPr>
      <t>95%</t>
    </r>
    <r>
      <rPr>
        <sz val="10"/>
        <color rgb="FF0000FF"/>
        <rFont val="Arial"/>
        <family val="2"/>
      </rPr>
      <t xml:space="preserve"> of people screened are sent the result within 20 working days of being screened. </t>
    </r>
  </si>
  <si>
    <t xml:space="preserve">Old Targets (QIS 2004) </t>
  </si>
  <si>
    <t xml:space="preserve">A minimum of 80% of people screened are sent the result in writing within 4 weeks (20 working days) of the photograph being taken (STANDARD 3 ~ Screening Process).
QIS Standards </t>
  </si>
  <si>
    <r>
      <t xml:space="preserve">80% </t>
    </r>
    <r>
      <rPr>
        <b/>
        <sz val="10"/>
        <color theme="1"/>
        <rFont val="Arial"/>
        <family val="2"/>
      </rPr>
      <t>KPI Target</t>
    </r>
  </si>
  <si>
    <r>
      <t xml:space="preserve">NHS boards achieve a maximum rate of ungradeable images of </t>
    </r>
    <r>
      <rPr>
        <b/>
        <sz val="10"/>
        <color rgb="FFFF0000"/>
        <rFont val="Arial"/>
        <family val="2"/>
      </rPr>
      <t>2.0%</t>
    </r>
    <r>
      <rPr>
        <b/>
        <sz val="10"/>
        <color rgb="FF0000FF"/>
        <rFont val="Arial"/>
        <family val="2"/>
      </rPr>
      <t xml:space="preserve"> for slit lamp examinations. (HIS Standard 4.3)</t>
    </r>
  </si>
  <si>
    <r>
      <t xml:space="preserve">Within </t>
    </r>
    <r>
      <rPr>
        <b/>
        <sz val="10"/>
        <color rgb="FFFF0000"/>
        <rFont val="Arial"/>
        <family val="2"/>
      </rPr>
      <t>90</t>
    </r>
    <r>
      <rPr>
        <b/>
        <sz val="10"/>
        <color rgb="FF0000FF"/>
        <rFont val="Arial"/>
        <family val="2"/>
      </rPr>
      <t xml:space="preserve"> calendar days for newly diagnosed appointment date. (HIS Standard 2.4)</t>
    </r>
  </si>
  <si>
    <r>
      <t xml:space="preserve">Within </t>
    </r>
    <r>
      <rPr>
        <b/>
        <sz val="10"/>
        <color rgb="FFFF0000"/>
        <rFont val="Arial"/>
        <family val="2"/>
      </rPr>
      <t>30</t>
    </r>
    <r>
      <rPr>
        <b/>
        <sz val="10"/>
        <color rgb="FF0000FF"/>
        <rFont val="Arial"/>
        <family val="2"/>
      </rPr>
      <t xml:space="preserve"> calendar days for newly diagnosed appointment offer. (HIS Standard 2.3)</t>
    </r>
  </si>
  <si>
    <t>Old Targets</t>
  </si>
  <si>
    <t>KPI 2: Screening uptake rate        (HIS Standard 3)</t>
  </si>
  <si>
    <t xml:space="preserve">KPI 4: Successful screening rate            (HIS Standard 3) </t>
  </si>
  <si>
    <t>KPI 1: Screening invitation rate           (HIS Standard 3)</t>
  </si>
  <si>
    <t xml:space="preserve">KPI 7A: Annual photographic technical failure rate                        (HIS Standard 4) </t>
  </si>
  <si>
    <t>Diabetic Retinopathy Screening Service reports for Q3 2016</t>
  </si>
  <si>
    <t>Total Diabetic Population Q3 2016 = 314,887</t>
  </si>
  <si>
    <t>Eligible Population Q3 2016= 270,787</t>
  </si>
  <si>
    <t>Eligible Pop = 270,787</t>
  </si>
  <si>
    <t>Temp Suspended = 24,587</t>
  </si>
  <si>
    <t>Permanently Suspended = 23,850</t>
  </si>
  <si>
    <t>Temporarily Unavailable = 4,4337</t>
  </si>
  <si>
    <t>Report start date - 01/04/2016 report reference date - 01/01/2017  Report Interval =  276 days</t>
  </si>
  <si>
    <r>
      <rPr>
        <b/>
        <sz val="10"/>
        <color rgb="FFFF0000"/>
        <rFont val="Arial"/>
        <family val="2"/>
      </rPr>
      <t>75%</t>
    </r>
    <r>
      <rPr>
        <b/>
        <sz val="10"/>
        <color rgb="FF0000FF"/>
        <rFont val="Arial"/>
        <family val="2"/>
      </rPr>
      <t xml:space="preserve"> for Q3 of eligible people, regardless of personal circumstances or characteristics are offered an opportunity to attend. (HIS Standard 3.3)</t>
    </r>
  </si>
  <si>
    <r>
      <t>NHS boards achieve an attendance of</t>
    </r>
    <r>
      <rPr>
        <b/>
        <sz val="10"/>
        <color rgb="FFFF0000"/>
        <rFont val="Arial"/>
        <family val="2"/>
      </rPr>
      <t xml:space="preserve"> 60%</t>
    </r>
    <r>
      <rPr>
        <b/>
        <sz val="10"/>
        <color rgb="FF0000FF"/>
        <rFont val="Arial"/>
        <family val="2"/>
      </rPr>
      <t xml:space="preserve"> for Q3. (HIS Standard 3.1)</t>
    </r>
  </si>
  <si>
    <t>Attended = 166,578 (61.5%)</t>
  </si>
  <si>
    <t xml:space="preserve">Not yet attended = 104,209 (38.5%) </t>
  </si>
  <si>
    <t>KPI 3: Annual successful screening rate (HIS Standard 3)</t>
  </si>
  <si>
    <t>KPI 5: Biennial successful screening rate (HIS Standard 3)</t>
  </si>
  <si>
    <r>
      <t>NHS boards achieve an uptake of</t>
    </r>
    <r>
      <rPr>
        <b/>
        <sz val="10"/>
        <color rgb="FFFF0000"/>
        <rFont val="Arial"/>
        <family val="2"/>
      </rPr>
      <t xml:space="preserve"> 60%</t>
    </r>
    <r>
      <rPr>
        <b/>
        <sz val="10"/>
        <color rgb="FF0000FF"/>
        <rFont val="Arial"/>
        <family val="2"/>
      </rPr>
      <t xml:space="preserve"> for Q3                         (HIS Standard 3.2)</t>
    </r>
  </si>
  <si>
    <r>
      <t xml:space="preserve">NHS boards achieve a maximum rate of ungradeable images of </t>
    </r>
    <r>
      <rPr>
        <b/>
        <sz val="10"/>
        <color rgb="FFFF0000"/>
        <rFont val="Arial"/>
        <family val="2"/>
      </rPr>
      <t>2.5%</t>
    </r>
    <r>
      <rPr>
        <b/>
        <sz val="10"/>
        <color rgb="FF0000FF"/>
        <rFont val="Arial"/>
        <family val="2"/>
      </rPr>
      <t xml:space="preserve"> for digital imaging               (HIS Standard 4.3)</t>
    </r>
  </si>
  <si>
    <r>
      <t xml:space="preserve">50% </t>
    </r>
    <r>
      <rPr>
        <b/>
        <sz val="10"/>
        <color theme="1"/>
        <rFont val="Arial"/>
        <family val="2"/>
      </rPr>
      <t>KPI Target for Q3 - QIS standards 2(a) 1</t>
    </r>
  </si>
  <si>
    <r>
      <t xml:space="preserve">60% </t>
    </r>
    <r>
      <rPr>
        <b/>
        <sz val="10"/>
        <color theme="1"/>
        <rFont val="Arial"/>
        <family val="2"/>
      </rPr>
      <t>KPI Target</t>
    </r>
  </si>
  <si>
    <r>
      <t xml:space="preserve">60% </t>
    </r>
    <r>
      <rPr>
        <b/>
        <sz val="10"/>
        <color theme="1"/>
        <rFont val="Arial"/>
        <family val="2"/>
      </rPr>
      <t>KPI Target for Q3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</si>
</sst>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32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2"/>
      <name val="Arial"/>
      <family val="2"/>
    </font>
    <font>
      <u/>
      <sz val="10"/>
      <color indexed="10"/>
      <name val="Arial"/>
      <family val="2"/>
    </font>
    <font>
      <i/>
      <sz val="10"/>
      <color indexed="10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lightTrellis"/>
    </fill>
    <fill>
      <patternFill patternType="solid">
        <fgColor indexed="6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164" fontId="3" fillId="2" borderId="5" xfId="0" applyNumberFormat="1" applyFont="1" applyFill="1" applyBorder="1" applyAlignment="1">
      <alignment horizontal="center"/>
    </xf>
    <xf numFmtId="0" fontId="0" fillId="0" borderId="0" xfId="0" applyFill="1"/>
    <xf numFmtId="3" fontId="0" fillId="0" borderId="0" xfId="0" applyNumberFormat="1"/>
    <xf numFmtId="0" fontId="0" fillId="3" borderId="0" xfId="0" applyFill="1"/>
    <xf numFmtId="0" fontId="0" fillId="0" borderId="0" xfId="0" applyFill="1" applyAlignment="1">
      <alignment wrapText="1"/>
    </xf>
    <xf numFmtId="164" fontId="3" fillId="2" borderId="6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/>
    <xf numFmtId="0" fontId="9" fillId="0" borderId="0" xfId="0" applyFont="1" applyFill="1"/>
    <xf numFmtId="0" fontId="9" fillId="0" borderId="0" xfId="0" applyFont="1"/>
    <xf numFmtId="0" fontId="1" fillId="0" borderId="8" xfId="0" applyFont="1" applyBorder="1" applyAlignment="1">
      <alignment horizontal="left" wrapText="1"/>
    </xf>
    <xf numFmtId="0" fontId="0" fillId="4" borderId="9" xfId="0" applyFill="1" applyBorder="1"/>
    <xf numFmtId="0" fontId="0" fillId="4" borderId="10" xfId="0" applyFill="1" applyBorder="1"/>
    <xf numFmtId="0" fontId="0" fillId="0" borderId="11" xfId="0" applyBorder="1"/>
    <xf numFmtId="0" fontId="9" fillId="4" borderId="12" xfId="0" applyFont="1" applyFill="1" applyBorder="1" applyAlignment="1">
      <alignment textRotation="90" wrapText="1"/>
    </xf>
    <xf numFmtId="0" fontId="9" fillId="4" borderId="13" xfId="0" applyFont="1" applyFill="1" applyBorder="1" applyAlignment="1">
      <alignment textRotation="90" wrapText="1"/>
    </xf>
    <xf numFmtId="0" fontId="8" fillId="4" borderId="14" xfId="0" applyFont="1" applyFill="1" applyBorder="1" applyAlignment="1">
      <alignment horizontal="center" textRotation="90" wrapText="1"/>
    </xf>
    <xf numFmtId="0" fontId="1" fillId="0" borderId="15" xfId="0" applyFont="1" applyBorder="1" applyAlignment="1">
      <alignment horizontal="left"/>
    </xf>
    <xf numFmtId="0" fontId="1" fillId="0" borderId="15" xfId="0" applyFont="1" applyBorder="1" applyAlignment="1">
      <alignment horizontal="left" wrapText="1"/>
    </xf>
    <xf numFmtId="0" fontId="1" fillId="2" borderId="16" xfId="0" applyFont="1" applyFill="1" applyBorder="1" applyAlignment="1">
      <alignment horizontal="center" vertical="center" textRotation="90" wrapText="1"/>
    </xf>
    <xf numFmtId="0" fontId="0" fillId="0" borderId="17" xfId="0" applyFill="1" applyBorder="1" applyAlignment="1">
      <alignment horizontal="center" vertical="center" textRotation="90" wrapText="1"/>
    </xf>
    <xf numFmtId="0" fontId="0" fillId="0" borderId="18" xfId="0" applyFill="1" applyBorder="1" applyAlignment="1">
      <alignment horizontal="center" vertical="center" textRotation="90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9" xfId="0" applyFont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textRotation="90" wrapText="1"/>
    </xf>
    <xf numFmtId="0" fontId="5" fillId="0" borderId="21" xfId="0" applyFont="1" applyBorder="1" applyAlignment="1">
      <alignment horizontal="center" vertical="center" textRotation="90" wrapText="1"/>
    </xf>
    <xf numFmtId="0" fontId="0" fillId="0" borderId="0" xfId="0" applyFill="1" applyAlignment="1">
      <alignment horizontal="center" vertical="center" textRotation="90"/>
    </xf>
    <xf numFmtId="0" fontId="0" fillId="0" borderId="0" xfId="0" applyAlignment="1">
      <alignment horizontal="center" vertical="center" textRotation="90"/>
    </xf>
    <xf numFmtId="0" fontId="0" fillId="0" borderId="0" xfId="0" applyAlignment="1">
      <alignment horizontal="center" vertical="center" textRotation="90" wrapText="1"/>
    </xf>
    <xf numFmtId="0" fontId="0" fillId="0" borderId="0" xfId="0" applyFill="1" applyAlignment="1">
      <alignment horizontal="center" vertical="center" textRotation="90" wrapText="1"/>
    </xf>
    <xf numFmtId="0" fontId="0" fillId="0" borderId="0" xfId="0" applyFill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1" fillId="0" borderId="23" xfId="0" applyFont="1" applyBorder="1" applyAlignment="1">
      <alignment horizontal="center" vertical="center" textRotation="90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2" fillId="0" borderId="0" xfId="0" applyFont="1" applyAlignment="1">
      <alignment horizontal="center" wrapText="1"/>
    </xf>
    <xf numFmtId="164" fontId="0" fillId="0" borderId="0" xfId="0" applyNumberFormat="1" applyAlignment="1">
      <alignment horizontal="center"/>
    </xf>
    <xf numFmtId="164" fontId="0" fillId="0" borderId="0" xfId="0" applyNumberFormat="1" applyFill="1"/>
    <xf numFmtId="3" fontId="1" fillId="0" borderId="27" xfId="0" applyNumberFormat="1" applyFont="1" applyBorder="1" applyAlignment="1">
      <alignment horizontal="center" vertical="center" wrapText="1"/>
    </xf>
    <xf numFmtId="3" fontId="1" fillId="0" borderId="28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left"/>
    </xf>
    <xf numFmtId="164" fontId="3" fillId="6" borderId="5" xfId="0" applyNumberFormat="1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1" fillId="0" borderId="8" xfId="0" applyFont="1" applyFill="1" applyBorder="1" applyAlignment="1">
      <alignment horizontal="left" wrapText="1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left" wrapText="1"/>
    </xf>
    <xf numFmtId="0" fontId="1" fillId="0" borderId="3" xfId="0" applyFont="1" applyFill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5" fillId="0" borderId="31" xfId="0" applyFont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7" borderId="31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0" fillId="8" borderId="33" xfId="0" applyFill="1" applyBorder="1" applyAlignment="1">
      <alignment horizontal="center" vertical="center" wrapText="1"/>
    </xf>
    <xf numFmtId="3" fontId="1" fillId="8" borderId="34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" fillId="9" borderId="26" xfId="0" applyFont="1" applyFill="1" applyBorder="1" applyAlignment="1">
      <alignment horizontal="left"/>
    </xf>
    <xf numFmtId="164" fontId="4" fillId="9" borderId="32" xfId="0" applyNumberFormat="1" applyFont="1" applyFill="1" applyBorder="1" applyAlignment="1">
      <alignment horizontal="center" vertical="center"/>
    </xf>
    <xf numFmtId="0" fontId="1" fillId="0" borderId="0" xfId="0" applyFont="1"/>
    <xf numFmtId="0" fontId="5" fillId="0" borderId="35" xfId="0" applyFont="1" applyBorder="1" applyAlignment="1">
      <alignment horizontal="center" wrapText="1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Alignment="1"/>
    <xf numFmtId="0" fontId="13" fillId="0" borderId="0" xfId="0" applyFont="1" applyAlignment="1"/>
    <xf numFmtId="0" fontId="1" fillId="0" borderId="36" xfId="0" applyFont="1" applyBorder="1" applyAlignment="1">
      <alignment horizontal="left"/>
    </xf>
    <xf numFmtId="0" fontId="5" fillId="0" borderId="37" xfId="0" applyFont="1" applyBorder="1" applyAlignment="1">
      <alignment horizontal="center" wrapText="1"/>
    </xf>
    <xf numFmtId="0" fontId="5" fillId="0" borderId="38" xfId="0" applyFont="1" applyBorder="1" applyAlignment="1">
      <alignment horizontal="center" wrapText="1"/>
    </xf>
    <xf numFmtId="0" fontId="5" fillId="0" borderId="17" xfId="0" applyFont="1" applyBorder="1" applyAlignment="1">
      <alignment horizontal="center" wrapText="1"/>
    </xf>
    <xf numFmtId="0" fontId="0" fillId="0" borderId="30" xfId="0" applyBorder="1" applyAlignment="1">
      <alignment horizontal="center"/>
    </xf>
    <xf numFmtId="0" fontId="0" fillId="0" borderId="39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40" xfId="0" applyFill="1" applyBorder="1" applyAlignment="1">
      <alignment horizontal="center" vertical="center" textRotation="90" wrapText="1"/>
    </xf>
    <xf numFmtId="0" fontId="19" fillId="0" borderId="0" xfId="0" applyFont="1"/>
    <xf numFmtId="0" fontId="19" fillId="0" borderId="0" xfId="0" applyFont="1" applyAlignment="1">
      <alignment wrapText="1"/>
    </xf>
    <xf numFmtId="3" fontId="20" fillId="0" borderId="0" xfId="0" applyNumberFormat="1" applyFont="1" applyAlignment="1">
      <alignment horizontal="right" wrapText="1"/>
    </xf>
    <xf numFmtId="3" fontId="19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17" xfId="0" applyFont="1" applyFill="1" applyBorder="1" applyAlignment="1">
      <alignment horizontal="center" vertical="center" textRotation="90" wrapText="1"/>
    </xf>
    <xf numFmtId="0" fontId="1" fillId="0" borderId="0" xfId="0" applyFont="1" applyFill="1"/>
    <xf numFmtId="0" fontId="1" fillId="3" borderId="0" xfId="0" applyFont="1" applyFill="1"/>
    <xf numFmtId="0" fontId="5" fillId="0" borderId="18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1" fillId="9" borderId="26" xfId="0" applyFont="1" applyFill="1" applyBorder="1" applyAlignment="1">
      <alignment horizontal="center" vertical="center" wrapText="1"/>
    </xf>
    <xf numFmtId="0" fontId="1" fillId="9" borderId="31" xfId="0" applyFont="1" applyFill="1" applyBorder="1" applyAlignment="1">
      <alignment horizontal="center" vertical="center" wrapText="1"/>
    </xf>
    <xf numFmtId="0" fontId="1" fillId="9" borderId="32" xfId="0" applyFont="1" applyFill="1" applyBorder="1" applyAlignment="1">
      <alignment horizontal="center" vertical="center" wrapText="1"/>
    </xf>
    <xf numFmtId="0" fontId="1" fillId="0" borderId="41" xfId="0" applyFont="1" applyBorder="1" applyAlignment="1">
      <alignment horizontal="left" wrapText="1"/>
    </xf>
    <xf numFmtId="0" fontId="1" fillId="9" borderId="9" xfId="0" applyFont="1" applyFill="1" applyBorder="1" applyAlignment="1">
      <alignment horizontal="left" vertical="center" wrapText="1"/>
    </xf>
    <xf numFmtId="164" fontId="3" fillId="2" borderId="15" xfId="0" applyNumberFormat="1" applyFont="1" applyFill="1" applyBorder="1" applyAlignment="1">
      <alignment horizontal="center"/>
    </xf>
    <xf numFmtId="164" fontId="3" fillId="2" borderId="36" xfId="0" applyNumberFormat="1" applyFont="1" applyFill="1" applyBorder="1" applyAlignment="1">
      <alignment horizontal="center"/>
    </xf>
    <xf numFmtId="0" fontId="0" fillId="0" borderId="17" xfId="0" applyBorder="1" applyAlignment="1">
      <alignment horizontal="center" vertical="center" textRotation="90" wrapText="1"/>
    </xf>
    <xf numFmtId="0" fontId="0" fillId="0" borderId="25" xfId="0" applyFill="1" applyBorder="1" applyAlignment="1">
      <alignment horizontal="center" vertical="center" textRotation="90" wrapText="1"/>
    </xf>
    <xf numFmtId="0" fontId="1" fillId="2" borderId="33" xfId="0" applyFont="1" applyFill="1" applyBorder="1" applyAlignment="1">
      <alignment horizontal="center" vertical="center" textRotation="90" wrapText="1"/>
    </xf>
    <xf numFmtId="164" fontId="3" fillId="2" borderId="38" xfId="0" applyNumberFormat="1" applyFont="1" applyFill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164" fontId="3" fillId="2" borderId="42" xfId="0" applyNumberFormat="1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0" fontId="1" fillId="0" borderId="43" xfId="0" applyFont="1" applyBorder="1" applyAlignment="1">
      <alignment horizontal="center" vertical="center" textRotation="90" wrapText="1"/>
    </xf>
    <xf numFmtId="0" fontId="0" fillId="0" borderId="25" xfId="0" applyFill="1" applyBorder="1" applyAlignment="1">
      <alignment horizontal="center" vertical="center" wrapText="1"/>
    </xf>
    <xf numFmtId="0" fontId="0" fillId="0" borderId="33" xfId="0" applyFill="1" applyBorder="1" applyAlignment="1">
      <alignment horizontal="center" vertical="center" wrapText="1"/>
    </xf>
    <xf numFmtId="0" fontId="1" fillId="0" borderId="42" xfId="0" applyFont="1" applyBorder="1" applyAlignment="1">
      <alignment horizontal="left"/>
    </xf>
    <xf numFmtId="0" fontId="0" fillId="0" borderId="37" xfId="0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0" fillId="0" borderId="38" xfId="0" applyFill="1" applyBorder="1" applyAlignment="1">
      <alignment horizontal="center"/>
    </xf>
    <xf numFmtId="0" fontId="1" fillId="9" borderId="26" xfId="0" applyFont="1" applyFill="1" applyBorder="1" applyAlignment="1">
      <alignment horizontal="left" vertical="center"/>
    </xf>
    <xf numFmtId="0" fontId="1" fillId="9" borderId="31" xfId="0" applyFont="1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left" wrapText="1"/>
    </xf>
    <xf numFmtId="0" fontId="1" fillId="3" borderId="0" xfId="0" applyFont="1" applyFill="1" applyBorder="1" applyAlignment="1">
      <alignment horizontal="center" vertical="center"/>
    </xf>
    <xf numFmtId="164" fontId="16" fillId="2" borderId="35" xfId="0" applyNumberFormat="1" applyFont="1" applyFill="1" applyBorder="1" applyAlignment="1">
      <alignment horizontal="center" vertical="center"/>
    </xf>
    <xf numFmtId="164" fontId="16" fillId="2" borderId="38" xfId="0" applyNumberFormat="1" applyFont="1" applyFill="1" applyBorder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164" fontId="16" fillId="2" borderId="5" xfId="0" applyNumberFormat="1" applyFont="1" applyFill="1" applyBorder="1" applyAlignment="1">
      <alignment horizontal="center" vertical="center"/>
    </xf>
    <xf numFmtId="164" fontId="16" fillId="6" borderId="4" xfId="0" applyNumberFormat="1" applyFont="1" applyFill="1" applyBorder="1" applyAlignment="1">
      <alignment horizontal="center" vertical="center"/>
    </xf>
    <xf numFmtId="164" fontId="16" fillId="6" borderId="5" xfId="0" applyNumberFormat="1" applyFont="1" applyFill="1" applyBorder="1" applyAlignment="1">
      <alignment horizontal="center" vertical="center"/>
    </xf>
    <xf numFmtId="164" fontId="16" fillId="2" borderId="39" xfId="0" applyNumberFormat="1" applyFont="1" applyFill="1" applyBorder="1" applyAlignment="1">
      <alignment horizontal="center" vertical="center"/>
    </xf>
    <xf numFmtId="164" fontId="16" fillId="2" borderId="6" xfId="0" applyNumberFormat="1" applyFont="1" applyFill="1" applyBorder="1" applyAlignment="1">
      <alignment horizontal="center" vertical="center"/>
    </xf>
    <xf numFmtId="164" fontId="15" fillId="9" borderId="31" xfId="0" applyNumberFormat="1" applyFont="1" applyFill="1" applyBorder="1" applyAlignment="1">
      <alignment horizontal="center" vertical="center"/>
    </xf>
    <xf numFmtId="164" fontId="15" fillId="9" borderId="32" xfId="0" applyNumberFormat="1" applyFont="1" applyFill="1" applyBorder="1" applyAlignment="1">
      <alignment horizontal="center" vertical="center"/>
    </xf>
    <xf numFmtId="0" fontId="0" fillId="0" borderId="0" xfId="0" applyAlignment="1"/>
    <xf numFmtId="164" fontId="3" fillId="2" borderId="39" xfId="0" applyNumberFormat="1" applyFont="1" applyFill="1" applyBorder="1" applyAlignment="1">
      <alignment horizontal="center"/>
    </xf>
    <xf numFmtId="0" fontId="1" fillId="9" borderId="45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 textRotation="90" wrapText="1"/>
    </xf>
    <xf numFmtId="0" fontId="1" fillId="9" borderId="7" xfId="0" applyFont="1" applyFill="1" applyBorder="1" applyAlignment="1">
      <alignment horizontal="left" vertical="center"/>
    </xf>
    <xf numFmtId="164" fontId="1" fillId="9" borderId="32" xfId="0" applyNumberFormat="1" applyFont="1" applyFill="1" applyBorder="1" applyAlignment="1">
      <alignment horizontal="center" vertical="center"/>
    </xf>
    <xf numFmtId="3" fontId="1" fillId="9" borderId="7" xfId="0" applyNumberFormat="1" applyFont="1" applyFill="1" applyBorder="1" applyAlignment="1">
      <alignment horizontal="center" vertical="center"/>
    </xf>
    <xf numFmtId="164" fontId="4" fillId="9" borderId="7" xfId="0" applyNumberFormat="1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 vertical="center" textRotation="90" wrapText="1"/>
    </xf>
    <xf numFmtId="0" fontId="5" fillId="0" borderId="25" xfId="0" applyFont="1" applyBorder="1" applyAlignment="1">
      <alignment horizontal="center" vertical="center" textRotation="90" wrapText="1"/>
    </xf>
    <xf numFmtId="0" fontId="5" fillId="0" borderId="33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27" xfId="0" applyFont="1" applyBorder="1" applyAlignment="1">
      <alignment horizontal="center" wrapText="1"/>
    </xf>
    <xf numFmtId="0" fontId="5" fillId="0" borderId="28" xfId="0" applyFont="1" applyBorder="1" applyAlignment="1">
      <alignment horizontal="center" wrapText="1"/>
    </xf>
    <xf numFmtId="0" fontId="5" fillId="0" borderId="34" xfId="0" applyFont="1" applyBorder="1" applyAlignment="1">
      <alignment horizontal="center" wrapText="1"/>
    </xf>
    <xf numFmtId="165" fontId="3" fillId="2" borderId="4" xfId="0" applyNumberFormat="1" applyFont="1" applyFill="1" applyBorder="1" applyAlignment="1">
      <alignment horizontal="center" wrapText="1" shrinkToFit="1"/>
    </xf>
    <xf numFmtId="165" fontId="3" fillId="2" borderId="39" xfId="0" applyNumberFormat="1" applyFont="1" applyFill="1" applyBorder="1" applyAlignment="1">
      <alignment horizontal="center" wrapText="1" shrinkToFit="1"/>
    </xf>
    <xf numFmtId="165" fontId="1" fillId="9" borderId="31" xfId="0" applyNumberFormat="1" applyFont="1" applyFill="1" applyBorder="1" applyAlignment="1">
      <alignment horizontal="center" vertical="center" wrapText="1" shrinkToFit="1"/>
    </xf>
    <xf numFmtId="164" fontId="1" fillId="9" borderId="7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164" fontId="3" fillId="2" borderId="20" xfId="0" applyNumberFormat="1" applyFont="1" applyFill="1" applyBorder="1" applyAlignment="1">
      <alignment horizontal="center"/>
    </xf>
    <xf numFmtId="165" fontId="3" fillId="2" borderId="20" xfId="0" applyNumberFormat="1" applyFont="1" applyFill="1" applyBorder="1" applyAlignment="1">
      <alignment horizontal="center" wrapText="1" shrinkToFit="1"/>
    </xf>
    <xf numFmtId="164" fontId="3" fillId="2" borderId="21" xfId="0" applyNumberFormat="1" applyFont="1" applyFill="1" applyBorder="1" applyAlignment="1">
      <alignment horizontal="center"/>
    </xf>
    <xf numFmtId="0" fontId="0" fillId="0" borderId="46" xfId="0" applyFill="1" applyBorder="1" applyAlignment="1">
      <alignment horizontal="center" vertical="center" textRotation="90" wrapText="1"/>
    </xf>
    <xf numFmtId="0" fontId="0" fillId="0" borderId="31" xfId="0" applyBorder="1" applyAlignment="1">
      <alignment horizontal="center" vertical="center" textRotation="90" wrapText="1"/>
    </xf>
    <xf numFmtId="0" fontId="1" fillId="2" borderId="32" xfId="0" applyFont="1" applyFill="1" applyBorder="1" applyAlignment="1">
      <alignment horizontal="center" vertical="center" textRotation="90" wrapText="1"/>
    </xf>
    <xf numFmtId="0" fontId="0" fillId="0" borderId="26" xfId="0" applyBorder="1" applyAlignment="1">
      <alignment horizontal="center" vertical="center" textRotation="90" wrapText="1"/>
    </xf>
    <xf numFmtId="0" fontId="9" fillId="4" borderId="12" xfId="0" applyFont="1" applyFill="1" applyBorder="1" applyAlignment="1">
      <alignment horizontal="center" vertical="center" textRotation="90" wrapText="1"/>
    </xf>
    <xf numFmtId="0" fontId="9" fillId="4" borderId="13" xfId="0" applyFont="1" applyFill="1" applyBorder="1" applyAlignment="1">
      <alignment horizontal="center" vertical="center" textRotation="90" wrapText="1"/>
    </xf>
    <xf numFmtId="0" fontId="9" fillId="4" borderId="30" xfId="0" applyFont="1" applyFill="1" applyBorder="1" applyAlignment="1">
      <alignment horizontal="center" vertical="center" textRotation="90" wrapText="1"/>
    </xf>
    <xf numFmtId="0" fontId="8" fillId="4" borderId="39" xfId="0" applyFont="1" applyFill="1" applyBorder="1" applyAlignment="1">
      <alignment horizontal="center" vertical="center" textRotation="90" wrapText="1"/>
    </xf>
    <xf numFmtId="0" fontId="9" fillId="4" borderId="39" xfId="0" applyFont="1" applyFill="1" applyBorder="1" applyAlignment="1">
      <alignment horizontal="center" vertical="center" textRotation="90" wrapText="1"/>
    </xf>
    <xf numFmtId="0" fontId="8" fillId="4" borderId="13" xfId="0" applyFont="1" applyFill="1" applyBorder="1" applyAlignment="1">
      <alignment horizontal="center" vertical="center" textRotation="90" wrapText="1"/>
    </xf>
    <xf numFmtId="0" fontId="8" fillId="4" borderId="14" xfId="0" applyFont="1" applyFill="1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textRotation="90" wrapText="1"/>
    </xf>
    <xf numFmtId="0" fontId="5" fillId="0" borderId="26" xfId="0" applyFont="1" applyBorder="1" applyAlignment="1">
      <alignment horizontal="center" vertical="center" textRotation="90" wrapText="1"/>
    </xf>
    <xf numFmtId="0" fontId="5" fillId="0" borderId="31" xfId="0" applyFont="1" applyBorder="1" applyAlignment="1">
      <alignment horizontal="center" vertical="center" textRotation="90" wrapText="1"/>
    </xf>
    <xf numFmtId="0" fontId="5" fillId="0" borderId="32" xfId="0" applyFont="1" applyBorder="1" applyAlignment="1">
      <alignment horizontal="center" vertical="center" textRotation="90" wrapText="1"/>
    </xf>
    <xf numFmtId="0" fontId="0" fillId="0" borderId="26" xfId="0" applyFill="1" applyBorder="1" applyAlignment="1">
      <alignment horizontal="center" vertical="center" textRotation="90" wrapText="1"/>
    </xf>
    <xf numFmtId="0" fontId="1" fillId="2" borderId="31" xfId="0" applyFont="1" applyFill="1" applyBorder="1" applyAlignment="1">
      <alignment horizontal="center" vertical="center" textRotation="90" wrapText="1"/>
    </xf>
    <xf numFmtId="0" fontId="0" fillId="0" borderId="32" xfId="0" applyFill="1" applyBorder="1" applyAlignment="1">
      <alignment horizontal="center" vertical="center" textRotation="90" wrapText="1"/>
    </xf>
    <xf numFmtId="164" fontId="3" fillId="2" borderId="52" xfId="0" applyNumberFormat="1" applyFont="1" applyFill="1" applyBorder="1" applyAlignment="1">
      <alignment horizontal="center"/>
    </xf>
    <xf numFmtId="164" fontId="3" fillId="2" borderId="61" xfId="0" applyNumberFormat="1" applyFont="1" applyFill="1" applyBorder="1" applyAlignment="1">
      <alignment horizontal="center"/>
    </xf>
    <xf numFmtId="164" fontId="3" fillId="6" borderId="61" xfId="0" applyNumberFormat="1" applyFont="1" applyFill="1" applyBorder="1" applyAlignment="1">
      <alignment horizontal="center"/>
    </xf>
    <xf numFmtId="164" fontId="3" fillId="2" borderId="55" xfId="0" applyNumberFormat="1" applyFont="1" applyFill="1" applyBorder="1" applyAlignment="1">
      <alignment horizontal="center"/>
    </xf>
    <xf numFmtId="164" fontId="3" fillId="6" borderId="15" xfId="0" applyNumberFormat="1" applyFont="1" applyFill="1" applyBorder="1" applyAlignment="1">
      <alignment horizontal="center"/>
    </xf>
    <xf numFmtId="164" fontId="3" fillId="2" borderId="50" xfId="0" applyNumberFormat="1" applyFont="1" applyFill="1" applyBorder="1" applyAlignment="1">
      <alignment horizontal="center"/>
    </xf>
    <xf numFmtId="0" fontId="26" fillId="0" borderId="0" xfId="0" applyFont="1" applyFill="1"/>
    <xf numFmtId="0" fontId="5" fillId="0" borderId="0" xfId="0" applyFont="1" applyFill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textRotation="90" wrapText="1"/>
    </xf>
    <xf numFmtId="0" fontId="5" fillId="0" borderId="18" xfId="0" applyFont="1" applyFill="1" applyBorder="1" applyAlignment="1">
      <alignment horizontal="center" vertical="center" textRotation="90" wrapText="1"/>
    </xf>
    <xf numFmtId="0" fontId="5" fillId="0" borderId="69" xfId="0" applyFont="1" applyBorder="1" applyAlignment="1">
      <alignment horizontal="center" wrapText="1"/>
    </xf>
    <xf numFmtId="0" fontId="5" fillId="0" borderId="64" xfId="0" applyFont="1" applyBorder="1" applyAlignment="1">
      <alignment horizontal="center" wrapText="1"/>
    </xf>
    <xf numFmtId="0" fontId="5" fillId="0" borderId="44" xfId="0" applyFont="1" applyBorder="1" applyAlignment="1">
      <alignment horizontal="center" wrapText="1"/>
    </xf>
    <xf numFmtId="0" fontId="5" fillId="0" borderId="65" xfId="0" applyFont="1" applyBorder="1" applyAlignment="1">
      <alignment horizontal="center" wrapText="1"/>
    </xf>
    <xf numFmtId="0" fontId="5" fillId="0" borderId="51" xfId="0" applyFont="1" applyBorder="1" applyAlignment="1">
      <alignment horizontal="center" wrapText="1"/>
    </xf>
    <xf numFmtId="0" fontId="5" fillId="0" borderId="66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67" xfId="0" applyFont="1" applyBorder="1" applyAlignment="1">
      <alignment horizontal="center" wrapText="1"/>
    </xf>
    <xf numFmtId="0" fontId="5" fillId="0" borderId="68" xfId="0" applyFont="1" applyBorder="1" applyAlignment="1">
      <alignment horizontal="center" wrapText="1"/>
    </xf>
    <xf numFmtId="0" fontId="22" fillId="9" borderId="26" xfId="0" applyFont="1" applyFill="1" applyBorder="1" applyAlignment="1">
      <alignment horizontal="center" vertical="center" wrapText="1"/>
    </xf>
    <xf numFmtId="0" fontId="22" fillId="9" borderId="31" xfId="0" applyFont="1" applyFill="1" applyBorder="1" applyAlignment="1">
      <alignment horizontal="center" vertical="center" wrapText="1"/>
    </xf>
    <xf numFmtId="0" fontId="22" fillId="9" borderId="46" xfId="0" applyFont="1" applyFill="1" applyBorder="1" applyAlignment="1">
      <alignment horizontal="center" vertical="center" wrapText="1"/>
    </xf>
    <xf numFmtId="0" fontId="22" fillId="9" borderId="10" xfId="0" applyFont="1" applyFill="1" applyBorder="1" applyAlignment="1">
      <alignment horizontal="center" vertical="center" wrapText="1"/>
    </xf>
    <xf numFmtId="0" fontId="22" fillId="9" borderId="62" xfId="0" applyFont="1" applyFill="1" applyBorder="1" applyAlignment="1">
      <alignment horizontal="center" vertical="center" wrapText="1"/>
    </xf>
    <xf numFmtId="0" fontId="22" fillId="9" borderId="47" xfId="0" applyFont="1" applyFill="1" applyBorder="1" applyAlignment="1">
      <alignment horizontal="center" vertical="center"/>
    </xf>
    <xf numFmtId="0" fontId="22" fillId="9" borderId="31" xfId="0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wrapText="1"/>
    </xf>
    <xf numFmtId="0" fontId="21" fillId="0" borderId="64" xfId="0" applyFont="1" applyBorder="1" applyAlignment="1">
      <alignment horizontal="center"/>
    </xf>
    <xf numFmtId="0" fontId="21" fillId="0" borderId="67" xfId="0" applyFont="1" applyBorder="1" applyAlignment="1">
      <alignment horizontal="center" wrapText="1"/>
    </xf>
    <xf numFmtId="0" fontId="21" fillId="0" borderId="65" xfId="0" applyFont="1" applyBorder="1" applyAlignment="1">
      <alignment horizontal="center"/>
    </xf>
    <xf numFmtId="0" fontId="21" fillId="0" borderId="68" xfId="0" applyFont="1" applyBorder="1" applyAlignment="1">
      <alignment horizontal="center" wrapText="1"/>
    </xf>
    <xf numFmtId="0" fontId="21" fillId="0" borderId="66" xfId="0" applyFont="1" applyBorder="1" applyAlignment="1">
      <alignment horizontal="center"/>
    </xf>
    <xf numFmtId="0" fontId="5" fillId="0" borderId="42" xfId="0" applyFont="1" applyBorder="1" applyAlignment="1">
      <alignment horizontal="center" wrapText="1"/>
    </xf>
    <xf numFmtId="3" fontId="5" fillId="0" borderId="42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5" xfId="0" applyFont="1" applyBorder="1" applyAlignment="1">
      <alignment horizontal="center" wrapText="1"/>
    </xf>
    <xf numFmtId="3" fontId="5" fillId="0" borderId="15" xfId="0" applyNumberFormat="1" applyFont="1" applyFill="1" applyBorder="1" applyAlignment="1">
      <alignment horizontal="center"/>
    </xf>
    <xf numFmtId="0" fontId="5" fillId="0" borderId="8" xfId="0" applyFont="1" applyBorder="1" applyAlignment="1">
      <alignment horizontal="center" wrapText="1"/>
    </xf>
    <xf numFmtId="164" fontId="3" fillId="0" borderId="15" xfId="0" applyNumberFormat="1" applyFont="1" applyFill="1" applyBorder="1" applyAlignment="1">
      <alignment horizontal="center"/>
    </xf>
    <xf numFmtId="0" fontId="5" fillId="0" borderId="50" xfId="0" applyFont="1" applyBorder="1" applyAlignment="1">
      <alignment horizontal="center" wrapText="1"/>
    </xf>
    <xf numFmtId="3" fontId="5" fillId="0" borderId="50" xfId="0" applyNumberFormat="1" applyFont="1" applyFill="1" applyBorder="1" applyAlignment="1">
      <alignment horizontal="center"/>
    </xf>
    <xf numFmtId="0" fontId="5" fillId="0" borderId="63" xfId="0" applyFont="1" applyBorder="1" applyAlignment="1">
      <alignment horizontal="center" wrapText="1"/>
    </xf>
    <xf numFmtId="0" fontId="22" fillId="9" borderId="49" xfId="0" applyFont="1" applyFill="1" applyBorder="1" applyAlignment="1">
      <alignment horizontal="center" vertical="center" wrapText="1"/>
    </xf>
    <xf numFmtId="3" fontId="1" fillId="9" borderId="31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1" fillId="0" borderId="37" xfId="0" applyFont="1" applyBorder="1" applyAlignment="1">
      <alignment horizontal="center" wrapText="1"/>
    </xf>
    <xf numFmtId="0" fontId="21" fillId="0" borderId="35" xfId="0" applyFont="1" applyBorder="1" applyAlignment="1">
      <alignment horizontal="center" wrapText="1"/>
    </xf>
    <xf numFmtId="0" fontId="21" fillId="0" borderId="60" xfId="0" applyFont="1" applyBorder="1" applyAlignment="1">
      <alignment horizontal="center" wrapText="1"/>
    </xf>
    <xf numFmtId="0" fontId="21" fillId="0" borderId="3" xfId="0" applyFont="1" applyBorder="1" applyAlignment="1">
      <alignment horizontal="center" wrapText="1"/>
    </xf>
    <xf numFmtId="0" fontId="21" fillId="0" borderId="4" xfId="0" applyFont="1" applyBorder="1" applyAlignment="1">
      <alignment horizontal="center" wrapText="1"/>
    </xf>
    <xf numFmtId="0" fontId="21" fillId="0" borderId="58" xfId="0" applyFont="1" applyBorder="1" applyAlignment="1">
      <alignment horizontal="center" wrapText="1"/>
    </xf>
    <xf numFmtId="0" fontId="21" fillId="0" borderId="47" xfId="0" applyFont="1" applyBorder="1" applyAlignment="1">
      <alignment horizontal="center" wrapText="1"/>
    </xf>
    <xf numFmtId="0" fontId="21" fillId="0" borderId="48" xfId="0" applyFont="1" applyBorder="1" applyAlignment="1">
      <alignment horizontal="center" wrapText="1"/>
    </xf>
    <xf numFmtId="0" fontId="21" fillId="0" borderId="59" xfId="0" applyFont="1" applyBorder="1" applyAlignment="1">
      <alignment horizontal="center" wrapText="1"/>
    </xf>
    <xf numFmtId="0" fontId="22" fillId="9" borderId="45" xfId="0" applyFont="1" applyFill="1" applyBorder="1" applyAlignment="1">
      <alignment horizontal="center" vertical="center" wrapText="1"/>
    </xf>
    <xf numFmtId="0" fontId="22" fillId="9" borderId="57" xfId="0" applyFont="1" applyFill="1" applyBorder="1" applyAlignment="1">
      <alignment horizontal="center" wrapText="1"/>
    </xf>
    <xf numFmtId="0" fontId="22" fillId="9" borderId="10" xfId="0" applyFont="1" applyFill="1" applyBorder="1" applyAlignment="1">
      <alignment horizontal="center" wrapText="1"/>
    </xf>
    <xf numFmtId="164" fontId="22" fillId="10" borderId="32" xfId="0" applyNumberFormat="1" applyFont="1" applyFill="1" applyBorder="1" applyAlignment="1">
      <alignment horizontal="center" wrapText="1"/>
    </xf>
    <xf numFmtId="164" fontId="1" fillId="9" borderId="31" xfId="0" applyNumberFormat="1" applyFont="1" applyFill="1" applyBorder="1" applyAlignment="1">
      <alignment horizontal="center" vertical="center"/>
    </xf>
    <xf numFmtId="1" fontId="1" fillId="9" borderId="32" xfId="0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7" fillId="4" borderId="1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textRotation="90" wrapText="1"/>
    </xf>
    <xf numFmtId="0" fontId="29" fillId="0" borderId="10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wrapText="1"/>
    </xf>
    <xf numFmtId="164" fontId="1" fillId="9" borderId="10" xfId="0" applyNumberFormat="1" applyFont="1" applyFill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/>
    </xf>
    <xf numFmtId="0" fontId="30" fillId="0" borderId="43" xfId="0" applyFont="1" applyBorder="1" applyAlignment="1">
      <alignment horizontal="center" vertical="center" wrapText="1"/>
    </xf>
    <xf numFmtId="0" fontId="26" fillId="0" borderId="35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3" fontId="23" fillId="9" borderId="31" xfId="0" applyNumberFormat="1" applyFont="1" applyFill="1" applyBorder="1" applyAlignment="1">
      <alignment horizontal="center" vertical="center"/>
    </xf>
    <xf numFmtId="3" fontId="23" fillId="9" borderId="31" xfId="0" applyNumberFormat="1" applyFont="1" applyFill="1" applyBorder="1" applyAlignment="1">
      <alignment horizontal="center" vertical="center" wrapText="1"/>
    </xf>
    <xf numFmtId="0" fontId="31" fillId="0" borderId="35" xfId="0" applyFont="1" applyBorder="1" applyAlignment="1">
      <alignment horizontal="center" wrapText="1"/>
    </xf>
    <xf numFmtId="0" fontId="31" fillId="0" borderId="4" xfId="0" applyFont="1" applyBorder="1" applyAlignment="1">
      <alignment horizontal="center" wrapText="1"/>
    </xf>
    <xf numFmtId="0" fontId="31" fillId="0" borderId="28" xfId="0" applyFont="1" applyBorder="1" applyAlignment="1">
      <alignment horizontal="center" wrapText="1"/>
    </xf>
    <xf numFmtId="164" fontId="21" fillId="6" borderId="38" xfId="0" applyNumberFormat="1" applyFont="1" applyFill="1" applyBorder="1" applyAlignment="1">
      <alignment horizontal="center" wrapText="1"/>
    </xf>
    <xf numFmtId="164" fontId="5" fillId="0" borderId="52" xfId="0" applyNumberFormat="1" applyFont="1" applyBorder="1" applyAlignment="1">
      <alignment horizontal="center" wrapText="1"/>
    </xf>
    <xf numFmtId="164" fontId="5" fillId="0" borderId="49" xfId="0" applyNumberFormat="1" applyFont="1" applyBorder="1" applyAlignment="1">
      <alignment horizontal="center" wrapText="1"/>
    </xf>
    <xf numFmtId="164" fontId="1" fillId="9" borderId="32" xfId="0" applyNumberFormat="1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7" fillId="4" borderId="49" xfId="0" applyFont="1" applyFill="1" applyBorder="1" applyAlignment="1">
      <alignment horizontal="center" vertical="center" wrapText="1"/>
    </xf>
    <xf numFmtId="9" fontId="29" fillId="0" borderId="9" xfId="0" applyNumberFormat="1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4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24" fillId="0" borderId="9" xfId="0" applyFont="1" applyBorder="1" applyAlignment="1">
      <alignment horizontal="center" vertical="top" wrapText="1"/>
    </xf>
    <xf numFmtId="0" fontId="24" fillId="0" borderId="10" xfId="0" applyFont="1" applyBorder="1" applyAlignment="1">
      <alignment horizontal="center" vertical="top" wrapText="1"/>
    </xf>
    <xf numFmtId="0" fontId="24" fillId="0" borderId="49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30" fillId="0" borderId="9" xfId="0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 wrapText="1"/>
    </xf>
    <xf numFmtId="0" fontId="30" fillId="0" borderId="49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30" fillId="5" borderId="9" xfId="0" applyFont="1" applyFill="1" applyBorder="1" applyAlignment="1">
      <alignment horizontal="center" vertical="center" wrapText="1"/>
    </xf>
    <xf numFmtId="0" fontId="30" fillId="5" borderId="49" xfId="0" applyFont="1" applyFill="1" applyBorder="1" applyAlignment="1">
      <alignment horizontal="center" vertical="center" wrapText="1"/>
    </xf>
    <xf numFmtId="0" fontId="24" fillId="5" borderId="9" xfId="0" applyFont="1" applyFill="1" applyBorder="1" applyAlignment="1">
      <alignment horizontal="center" vertical="top" wrapText="1"/>
    </xf>
    <xf numFmtId="0" fontId="24" fillId="5" borderId="49" xfId="0" applyFont="1" applyFill="1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49" xfId="0" applyBorder="1" applyAlignment="1">
      <alignment horizontal="center" vertical="top" wrapText="1"/>
    </xf>
    <xf numFmtId="0" fontId="24" fillId="0" borderId="9" xfId="0" applyFont="1" applyFill="1" applyBorder="1" applyAlignment="1">
      <alignment horizontal="center" vertical="top" wrapText="1"/>
    </xf>
    <xf numFmtId="0" fontId="24" fillId="0" borderId="10" xfId="0" applyFont="1" applyFill="1" applyBorder="1" applyAlignment="1">
      <alignment horizontal="center" vertical="top" wrapText="1"/>
    </xf>
    <xf numFmtId="0" fontId="24" fillId="0" borderId="49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49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30" fillId="0" borderId="53" xfId="0" applyFont="1" applyBorder="1" applyAlignment="1">
      <alignment horizontal="center" vertical="center" wrapText="1"/>
    </xf>
    <xf numFmtId="0" fontId="30" fillId="0" borderId="54" xfId="0" applyFont="1" applyBorder="1" applyAlignment="1">
      <alignment horizontal="center" vertical="center" wrapText="1"/>
    </xf>
    <xf numFmtId="0" fontId="30" fillId="0" borderId="55" xfId="0" applyFont="1" applyBorder="1" applyAlignment="1">
      <alignment horizontal="center" vertical="center" wrapText="1"/>
    </xf>
    <xf numFmtId="0" fontId="29" fillId="0" borderId="12" xfId="0" applyFont="1" applyFill="1" applyBorder="1" applyAlignment="1">
      <alignment horizontal="center" vertical="center" wrapText="1"/>
    </xf>
    <xf numFmtId="0" fontId="29" fillId="0" borderId="13" xfId="0" applyFont="1" applyFill="1" applyBorder="1" applyAlignment="1">
      <alignment horizontal="center" vertical="center" wrapText="1"/>
    </xf>
    <xf numFmtId="0" fontId="29" fillId="0" borderId="14" xfId="0" applyFont="1" applyFill="1" applyBorder="1" applyAlignment="1">
      <alignment horizontal="center" vertical="center" wrapText="1"/>
    </xf>
    <xf numFmtId="0" fontId="9" fillId="0" borderId="56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0" fontId="0" fillId="0" borderId="37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9" fillId="0" borderId="39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Diabetic Population Q3 2016 = 314,887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'Summary Statistics KPI 0'!$A$60</c:f>
              <c:strCache>
                <c:ptCount val="1"/>
                <c:pt idx="0">
                  <c:v>Total Diabetic Population Q3 2016 = 314,887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-8.2459810025247049E-2"/>
                  <c:y val="-0.13233309531651555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9.3039554266243392E-3"/>
                  <c:y val="2.9487256715861412E-2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spPr/>
              <c:txPr>
                <a:bodyPr/>
                <a:lstStyle/>
                <a:p>
                  <a:pPr>
                    <a:defRPr sz="1200"/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spPr/>
              <c:txPr>
                <a:bodyPr/>
                <a:lstStyle/>
                <a:p>
                  <a:pPr>
                    <a:defRPr sz="1200"/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5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'Summary Statistics KPI 0'!$B$59:$E$59</c:f>
              <c:strCache>
                <c:ptCount val="4"/>
                <c:pt idx="0">
                  <c:v>Eligible Pop = 270,787</c:v>
                </c:pt>
                <c:pt idx="1">
                  <c:v>Temp Suspended = 24,587</c:v>
                </c:pt>
                <c:pt idx="2">
                  <c:v>Permanently Suspended = 23,850</c:v>
                </c:pt>
                <c:pt idx="3">
                  <c:v>Temporarily Unavailable = 4,4337</c:v>
                </c:pt>
              </c:strCache>
            </c:strRef>
          </c:cat>
          <c:val>
            <c:numRef>
              <c:f>'Summary Statistics KPI 0'!$B$60:$E$60</c:f>
              <c:numCache>
                <c:formatCode>#,##0</c:formatCode>
                <c:ptCount val="4"/>
                <c:pt idx="0">
                  <c:v>270787</c:v>
                </c:pt>
                <c:pt idx="1">
                  <c:v>24587</c:v>
                </c:pt>
                <c:pt idx="2">
                  <c:v>23850</c:v>
                </c:pt>
                <c:pt idx="3">
                  <c:v>4337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tr"/>
      <c:layout>
        <c:manualLayout>
          <c:xMode val="edge"/>
          <c:yMode val="edge"/>
          <c:x val="0.57096026154625357"/>
          <c:y val="0.15655752047387519"/>
          <c:w val="0.41500465073444875"/>
          <c:h val="0.43957488920442539"/>
        </c:manualLayout>
      </c:layout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Eligible Population Q3</a:t>
            </a:r>
            <a:r>
              <a:rPr lang="en-US" baseline="0"/>
              <a:t> </a:t>
            </a:r>
            <a:r>
              <a:rPr lang="en-US"/>
              <a:t>2016 = 270,787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'Summary Statistics KPI 0'!$A$63</c:f>
              <c:strCache>
                <c:ptCount val="1"/>
                <c:pt idx="0">
                  <c:v>Eligible Population Q3 2016= 270,787</c:v>
                </c:pt>
              </c:strCache>
            </c:strRef>
          </c:tx>
          <c:explosion val="24"/>
          <c:dPt>
            <c:idx val="0"/>
            <c:bubble3D val="0"/>
            <c:spPr>
              <a:solidFill>
                <a:srgbClr val="00B050"/>
              </a:solidFill>
            </c:spPr>
          </c:dPt>
          <c:cat>
            <c:strRef>
              <c:f>'Summary Statistics KPI 0'!$B$62:$D$62</c:f>
              <c:strCache>
                <c:ptCount val="2"/>
                <c:pt idx="0">
                  <c:v>Attended = 166,578 (61.5%)</c:v>
                </c:pt>
                <c:pt idx="1">
                  <c:v>Not yet attended = 104,209 (38.5%) </c:v>
                </c:pt>
              </c:strCache>
            </c:strRef>
          </c:cat>
          <c:val>
            <c:numRef>
              <c:f>'Summary Statistics KPI 0'!$B$63:$D$63</c:f>
              <c:numCache>
                <c:formatCode>#,##0</c:formatCode>
                <c:ptCount val="3"/>
                <c:pt idx="0">
                  <c:v>166578</c:v>
                </c:pt>
                <c:pt idx="1">
                  <c:v>104209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58908895424216456"/>
          <c:y val="0.20114395536623494"/>
          <c:w val="0.39714168259088167"/>
          <c:h val="0.19871319363768095"/>
        </c:manualLayout>
      </c:layout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25</xdr:row>
      <xdr:rowOff>9525</xdr:rowOff>
    </xdr:from>
    <xdr:to>
      <xdr:col>5</xdr:col>
      <xdr:colOff>714375</xdr:colOff>
      <xdr:row>47</xdr:row>
      <xdr:rowOff>95250</xdr:rowOff>
    </xdr:to>
    <xdr:graphicFrame macro="">
      <xdr:nvGraphicFramePr>
        <xdr:cNvPr id="230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904704</xdr:colOff>
      <xdr:row>25</xdr:row>
      <xdr:rowOff>0</xdr:rowOff>
    </xdr:from>
    <xdr:to>
      <xdr:col>13</xdr:col>
      <xdr:colOff>85554</xdr:colOff>
      <xdr:row>47</xdr:row>
      <xdr:rowOff>85725</xdr:rowOff>
    </xdr:to>
    <xdr:graphicFrame macro="">
      <xdr:nvGraphicFramePr>
        <xdr:cNvPr id="230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603403</xdr:colOff>
      <xdr:row>34</xdr:row>
      <xdr:rowOff>119729</xdr:rowOff>
    </xdr:from>
    <xdr:to>
      <xdr:col>7</xdr:col>
      <xdr:colOff>651028</xdr:colOff>
      <xdr:row>37</xdr:row>
      <xdr:rowOff>77763</xdr:rowOff>
    </xdr:to>
    <xdr:sp macro="" textlink="">
      <xdr:nvSpPr>
        <xdr:cNvPr id="7" name="TextBox 1"/>
        <xdr:cNvSpPr txBox="1"/>
      </xdr:nvSpPr>
      <xdr:spPr>
        <a:xfrm>
          <a:off x="6882283" y="8021669"/>
          <a:ext cx="977265" cy="460954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GB" sz="1800"/>
            <a:t>38.5%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0.40237</cdr:x>
      <cdr:y>0.58949</cdr:y>
    </cdr:from>
    <cdr:to>
      <cdr:x>0.57141</cdr:x>
      <cdr:y>0.72798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276552" y="2125806"/>
          <a:ext cx="956403" cy="4994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GB" sz="1800"/>
            <a:t>61.5%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tabSelected="1" workbookViewId="0">
      <selection activeCell="H58" sqref="H58"/>
    </sheetView>
  </sheetViews>
  <sheetFormatPr defaultRowHeight="12.5" x14ac:dyDescent="0.25"/>
  <cols>
    <col min="1" max="1" width="23.81640625" customWidth="1"/>
    <col min="2" max="4" width="13.54296875" style="37" customWidth="1"/>
    <col min="5" max="5" width="13.54296875" style="36" customWidth="1"/>
    <col min="6" max="8" width="13.54296875" style="37" customWidth="1"/>
    <col min="9" max="9" width="13.54296875" style="36" customWidth="1"/>
    <col min="10" max="10" width="13.54296875" style="37" customWidth="1"/>
  </cols>
  <sheetData>
    <row r="1" spans="1:10" s="86" customFormat="1" ht="14" x14ac:dyDescent="0.3">
      <c r="A1" s="86" t="s">
        <v>121</v>
      </c>
      <c r="B1" s="87"/>
      <c r="C1" s="87"/>
      <c r="D1" s="87"/>
      <c r="E1" s="88"/>
      <c r="F1" s="87"/>
      <c r="G1" s="87"/>
      <c r="H1" s="87"/>
      <c r="I1" s="88"/>
      <c r="J1" s="87"/>
    </row>
    <row r="2" spans="1:10" ht="30" customHeight="1" x14ac:dyDescent="0.3">
      <c r="A2" s="90" t="s">
        <v>128</v>
      </c>
      <c r="B2" s="89"/>
      <c r="C2" s="89"/>
      <c r="D2" s="89"/>
      <c r="E2" s="57"/>
      <c r="F2" s="57"/>
      <c r="G2" s="57"/>
      <c r="H2" s="57"/>
      <c r="I2" s="57"/>
      <c r="J2" s="57"/>
    </row>
    <row r="3" spans="1:10" ht="30" customHeight="1" thickBot="1" x14ac:dyDescent="0.35">
      <c r="A3" s="89"/>
      <c r="B3" s="89"/>
      <c r="C3" s="89"/>
      <c r="D3" s="89"/>
      <c r="E3" s="57"/>
      <c r="F3" s="57"/>
      <c r="G3" s="57"/>
      <c r="H3" s="57"/>
      <c r="I3" s="57"/>
      <c r="J3" s="57"/>
    </row>
    <row r="4" spans="1:10" ht="29.25" customHeight="1" x14ac:dyDescent="0.3">
      <c r="A4" s="37"/>
      <c r="C4" s="275" t="s">
        <v>94</v>
      </c>
      <c r="D4" s="276"/>
      <c r="E4" s="276"/>
      <c r="F4" s="276"/>
      <c r="G4" s="277"/>
      <c r="H4" s="57"/>
      <c r="I4" s="57"/>
      <c r="J4" s="57"/>
    </row>
    <row r="5" spans="1:10" ht="54.75" customHeight="1" x14ac:dyDescent="0.3">
      <c r="A5" s="37"/>
      <c r="C5" s="50" t="s">
        <v>1</v>
      </c>
      <c r="D5" s="51" t="s">
        <v>14</v>
      </c>
      <c r="E5" s="51" t="s">
        <v>19</v>
      </c>
      <c r="F5" s="51" t="s">
        <v>15</v>
      </c>
      <c r="G5" s="79" t="s">
        <v>16</v>
      </c>
      <c r="H5" s="57"/>
      <c r="I5" s="57"/>
      <c r="J5" s="57"/>
    </row>
    <row r="6" spans="1:10" ht="29.25" customHeight="1" thickBot="1" x14ac:dyDescent="0.35">
      <c r="A6" s="62"/>
      <c r="B6" s="63"/>
      <c r="C6" s="60">
        <v>314887</v>
      </c>
      <c r="D6" s="61">
        <v>24587</v>
      </c>
      <c r="E6" s="61">
        <v>23850</v>
      </c>
      <c r="F6" s="61">
        <v>4337</v>
      </c>
      <c r="G6" s="80">
        <v>270787</v>
      </c>
      <c r="H6" s="57"/>
      <c r="I6" s="57"/>
      <c r="J6" s="57"/>
    </row>
    <row r="7" spans="1:10" ht="29.25" hidden="1" customHeight="1" x14ac:dyDescent="0.3">
      <c r="A7" s="64"/>
      <c r="B7" s="63"/>
      <c r="C7" s="52">
        <v>252534</v>
      </c>
      <c r="D7" s="53">
        <v>24796</v>
      </c>
      <c r="E7" s="53">
        <v>13385</v>
      </c>
      <c r="F7" s="53">
        <v>4229</v>
      </c>
      <c r="G7" s="54">
        <v>218582</v>
      </c>
      <c r="H7" s="57"/>
      <c r="I7" s="57"/>
      <c r="J7" s="57"/>
    </row>
    <row r="8" spans="1:10" ht="30.75" customHeight="1" thickBot="1" x14ac:dyDescent="0.3">
      <c r="B8" s="48"/>
      <c r="C8" s="48"/>
      <c r="D8" s="48"/>
      <c r="E8" s="49"/>
      <c r="F8" s="48"/>
      <c r="G8" s="48"/>
      <c r="H8" s="48"/>
      <c r="I8" s="49"/>
      <c r="J8" s="48"/>
    </row>
    <row r="9" spans="1:10" ht="87" customHeight="1" thickBot="1" x14ac:dyDescent="0.3">
      <c r="A9" s="55" t="s">
        <v>18</v>
      </c>
      <c r="B9" s="74" t="s">
        <v>1</v>
      </c>
      <c r="C9" s="74" t="s">
        <v>14</v>
      </c>
      <c r="D9" s="75" t="s">
        <v>52</v>
      </c>
      <c r="E9" s="76" t="s">
        <v>19</v>
      </c>
      <c r="F9" s="75" t="s">
        <v>53</v>
      </c>
      <c r="G9" s="74" t="s">
        <v>15</v>
      </c>
      <c r="H9" s="75" t="s">
        <v>54</v>
      </c>
      <c r="I9" s="77" t="s">
        <v>16</v>
      </c>
      <c r="J9" s="78" t="s">
        <v>55</v>
      </c>
    </row>
    <row r="10" spans="1:10" ht="13" x14ac:dyDescent="0.3">
      <c r="A10" s="73" t="s">
        <v>20</v>
      </c>
      <c r="B10" s="267">
        <v>25372</v>
      </c>
      <c r="C10" s="262">
        <v>1325</v>
      </c>
      <c r="D10" s="137">
        <f>C10/B10</f>
        <v>5.2222922907141728E-2</v>
      </c>
      <c r="E10" s="262">
        <v>2175</v>
      </c>
      <c r="F10" s="137">
        <f t="shared" ref="F10:F24" si="0">E10/B10</f>
        <v>8.5724420621157177E-2</v>
      </c>
      <c r="G10" s="262">
        <v>19</v>
      </c>
      <c r="H10" s="137">
        <f t="shared" ref="H10:H24" si="1">G10/B10</f>
        <v>7.4885700772505119E-4</v>
      </c>
      <c r="I10" s="262">
        <v>21891</v>
      </c>
      <c r="J10" s="138">
        <f t="shared" ref="J10:J24" si="2">I10/B10</f>
        <v>0.86280151347942613</v>
      </c>
    </row>
    <row r="11" spans="1:10" ht="13" x14ac:dyDescent="0.3">
      <c r="A11" s="69" t="s">
        <v>2</v>
      </c>
      <c r="B11" s="268">
        <v>8304</v>
      </c>
      <c r="C11" s="263">
        <v>808</v>
      </c>
      <c r="D11" s="139">
        <f t="shared" ref="D11:D24" si="3">C11/B11</f>
        <v>9.7302504816955682E-2</v>
      </c>
      <c r="E11" s="263">
        <v>1440</v>
      </c>
      <c r="F11" s="139">
        <f t="shared" si="0"/>
        <v>0.17341040462427745</v>
      </c>
      <c r="G11" s="263">
        <v>59</v>
      </c>
      <c r="H11" s="139">
        <f t="shared" si="1"/>
        <v>7.1050096339113676E-3</v>
      </c>
      <c r="I11" s="263">
        <v>6115</v>
      </c>
      <c r="J11" s="140">
        <f t="shared" si="2"/>
        <v>0.7363921001926782</v>
      </c>
    </row>
    <row r="12" spans="1:10" ht="14.25" customHeight="1" x14ac:dyDescent="0.3">
      <c r="A12" s="70" t="s">
        <v>3</v>
      </c>
      <c r="B12" s="268">
        <v>10275</v>
      </c>
      <c r="C12" s="263">
        <v>1011</v>
      </c>
      <c r="D12" s="139">
        <f t="shared" si="3"/>
        <v>9.8394160583941612E-2</v>
      </c>
      <c r="E12" s="263">
        <v>932</v>
      </c>
      <c r="F12" s="139">
        <f t="shared" si="0"/>
        <v>9.0705596107055961E-2</v>
      </c>
      <c r="G12" s="263">
        <v>173</v>
      </c>
      <c r="H12" s="139">
        <f t="shared" si="1"/>
        <v>1.6836982968369829E-2</v>
      </c>
      <c r="I12" s="263">
        <v>8505</v>
      </c>
      <c r="J12" s="140">
        <f t="shared" si="2"/>
        <v>0.82773722627737223</v>
      </c>
    </row>
    <row r="13" spans="1:10" ht="13" x14ac:dyDescent="0.3">
      <c r="A13" s="69" t="s">
        <v>4</v>
      </c>
      <c r="B13" s="268">
        <v>22251</v>
      </c>
      <c r="C13" s="263">
        <v>1904</v>
      </c>
      <c r="D13" s="139">
        <f t="shared" si="3"/>
        <v>8.5569187901667343E-2</v>
      </c>
      <c r="E13" s="263">
        <v>1139</v>
      </c>
      <c r="F13" s="139">
        <f t="shared" si="0"/>
        <v>5.1188710619747425E-2</v>
      </c>
      <c r="G13" s="263">
        <v>137</v>
      </c>
      <c r="H13" s="139">
        <f t="shared" si="1"/>
        <v>6.1570266504876181E-3</v>
      </c>
      <c r="I13" s="263">
        <v>19345</v>
      </c>
      <c r="J13" s="140">
        <f t="shared" si="2"/>
        <v>0.86939912812907283</v>
      </c>
    </row>
    <row r="14" spans="1:10" ht="13" x14ac:dyDescent="0.3">
      <c r="A14" s="69" t="s">
        <v>5</v>
      </c>
      <c r="B14" s="268">
        <v>17424</v>
      </c>
      <c r="C14" s="263">
        <v>940</v>
      </c>
      <c r="D14" s="139">
        <f t="shared" si="3"/>
        <v>5.3948576675849402E-2</v>
      </c>
      <c r="E14" s="263">
        <v>656</v>
      </c>
      <c r="F14" s="139">
        <f t="shared" si="0"/>
        <v>3.7649219467401289E-2</v>
      </c>
      <c r="G14" s="263">
        <v>337</v>
      </c>
      <c r="H14" s="139">
        <f t="shared" si="1"/>
        <v>1.9341138659320477E-2</v>
      </c>
      <c r="I14" s="263">
        <v>16165</v>
      </c>
      <c r="J14" s="140">
        <f t="shared" si="2"/>
        <v>0.92774334251606982</v>
      </c>
    </row>
    <row r="15" spans="1:10" s="9" customFormat="1" ht="13" x14ac:dyDescent="0.3">
      <c r="A15" s="71" t="s">
        <v>6</v>
      </c>
      <c r="B15" s="268">
        <v>31343</v>
      </c>
      <c r="C15" s="263">
        <v>1634</v>
      </c>
      <c r="D15" s="141">
        <f t="shared" si="3"/>
        <v>5.2132852630571422E-2</v>
      </c>
      <c r="E15" s="263">
        <v>2982</v>
      </c>
      <c r="F15" s="141">
        <f t="shared" si="0"/>
        <v>9.5140860798264365E-2</v>
      </c>
      <c r="G15" s="263">
        <v>339</v>
      </c>
      <c r="H15" s="141">
        <f t="shared" si="1"/>
        <v>1.0815812143062247E-2</v>
      </c>
      <c r="I15" s="263">
        <v>27066</v>
      </c>
      <c r="J15" s="142">
        <f t="shared" si="2"/>
        <v>0.86354209871422649</v>
      </c>
    </row>
    <row r="16" spans="1:10" ht="13" x14ac:dyDescent="0.3">
      <c r="A16" s="69" t="s">
        <v>7</v>
      </c>
      <c r="B16" s="268">
        <v>66685</v>
      </c>
      <c r="C16" s="263">
        <v>6795</v>
      </c>
      <c r="D16" s="141">
        <f t="shared" si="3"/>
        <v>0.10189697833095898</v>
      </c>
      <c r="E16" s="263">
        <v>3444</v>
      </c>
      <c r="F16" s="139">
        <f t="shared" si="0"/>
        <v>5.1645797405713428E-2</v>
      </c>
      <c r="G16" s="263">
        <v>1642</v>
      </c>
      <c r="H16" s="139">
        <f t="shared" si="1"/>
        <v>2.4623228612131665E-2</v>
      </c>
      <c r="I16" s="263">
        <v>58088</v>
      </c>
      <c r="J16" s="140">
        <f t="shared" si="2"/>
        <v>0.87108045287545921</v>
      </c>
    </row>
    <row r="17" spans="1:10" ht="13" x14ac:dyDescent="0.3">
      <c r="A17" s="69" t="s">
        <v>8</v>
      </c>
      <c r="B17" s="268">
        <v>18521</v>
      </c>
      <c r="C17" s="263">
        <v>1510</v>
      </c>
      <c r="D17" s="139">
        <f t="shared" si="3"/>
        <v>8.1529075103936074E-2</v>
      </c>
      <c r="E17" s="263">
        <v>1373</v>
      </c>
      <c r="F17" s="139">
        <f t="shared" si="0"/>
        <v>7.4132066303115376E-2</v>
      </c>
      <c r="G17" s="263">
        <v>313</v>
      </c>
      <c r="H17" s="139">
        <f t="shared" si="1"/>
        <v>1.6899735435451649E-2</v>
      </c>
      <c r="I17" s="263">
        <v>15951</v>
      </c>
      <c r="J17" s="140">
        <f t="shared" si="2"/>
        <v>0.8612385940284002</v>
      </c>
    </row>
    <row r="18" spans="1:10" ht="13" x14ac:dyDescent="0.3">
      <c r="A18" s="69" t="s">
        <v>9</v>
      </c>
      <c r="B18" s="268">
        <v>40178</v>
      </c>
      <c r="C18" s="263">
        <v>3413</v>
      </c>
      <c r="D18" s="139">
        <f t="shared" si="3"/>
        <v>8.4946985912688538E-2</v>
      </c>
      <c r="E18" s="263">
        <v>2349</v>
      </c>
      <c r="F18" s="139">
        <f t="shared" si="0"/>
        <v>5.8464831499825773E-2</v>
      </c>
      <c r="G18" s="263">
        <v>653</v>
      </c>
      <c r="H18" s="139">
        <f t="shared" si="1"/>
        <v>1.6252675593608441E-2</v>
      </c>
      <c r="I18" s="263">
        <v>35069</v>
      </c>
      <c r="J18" s="140">
        <f t="shared" si="2"/>
        <v>0.87284085818109414</v>
      </c>
    </row>
    <row r="19" spans="1:10" ht="13" x14ac:dyDescent="0.3">
      <c r="A19" s="69" t="s">
        <v>10</v>
      </c>
      <c r="B19" s="268">
        <v>45566</v>
      </c>
      <c r="C19" s="263">
        <v>2827</v>
      </c>
      <c r="D19" s="139">
        <f t="shared" si="3"/>
        <v>6.2041873326603172E-2</v>
      </c>
      <c r="E19" s="263">
        <v>5223</v>
      </c>
      <c r="F19" s="139">
        <f t="shared" si="0"/>
        <v>0.11462493964798315</v>
      </c>
      <c r="G19" s="263">
        <v>171</v>
      </c>
      <c r="H19" s="139">
        <f t="shared" si="1"/>
        <v>3.7527981389632622E-3</v>
      </c>
      <c r="I19" s="263">
        <v>37687</v>
      </c>
      <c r="J19" s="140">
        <f t="shared" si="2"/>
        <v>0.82708598516437692</v>
      </c>
    </row>
    <row r="20" spans="1:10" ht="13" x14ac:dyDescent="0.3">
      <c r="A20" s="69" t="s">
        <v>11</v>
      </c>
      <c r="B20" s="268">
        <v>1256</v>
      </c>
      <c r="C20" s="263">
        <v>83</v>
      </c>
      <c r="D20" s="139">
        <f t="shared" si="3"/>
        <v>6.60828025477707E-2</v>
      </c>
      <c r="E20" s="263">
        <v>93</v>
      </c>
      <c r="F20" s="139">
        <f t="shared" si="0"/>
        <v>7.4044585987261144E-2</v>
      </c>
      <c r="G20" s="263">
        <v>10</v>
      </c>
      <c r="H20" s="139">
        <f t="shared" si="1"/>
        <v>7.9617834394904458E-3</v>
      </c>
      <c r="I20" s="263">
        <v>1090</v>
      </c>
      <c r="J20" s="140">
        <f t="shared" si="2"/>
        <v>0.86783439490445857</v>
      </c>
    </row>
    <row r="21" spans="1:10" ht="13" x14ac:dyDescent="0.3">
      <c r="A21" s="69" t="s">
        <v>12</v>
      </c>
      <c r="B21" s="268">
        <v>1221</v>
      </c>
      <c r="C21" s="263">
        <v>106</v>
      </c>
      <c r="D21" s="139">
        <f t="shared" si="3"/>
        <v>8.681408681408681E-2</v>
      </c>
      <c r="E21" s="263">
        <v>85</v>
      </c>
      <c r="F21" s="139">
        <f t="shared" si="0"/>
        <v>6.9615069615069622E-2</v>
      </c>
      <c r="G21" s="263">
        <v>35</v>
      </c>
      <c r="H21" s="139">
        <f t="shared" si="1"/>
        <v>2.8665028665028666E-2</v>
      </c>
      <c r="I21" s="263">
        <v>1065</v>
      </c>
      <c r="J21" s="140">
        <f t="shared" si="2"/>
        <v>0.87223587223587229</v>
      </c>
    </row>
    <row r="22" spans="1:10" ht="13" x14ac:dyDescent="0.3">
      <c r="A22" s="69" t="s">
        <v>13</v>
      </c>
      <c r="B22" s="268">
        <v>24971</v>
      </c>
      <c r="C22" s="263">
        <v>2043</v>
      </c>
      <c r="D22" s="139">
        <f t="shared" si="3"/>
        <v>8.1814905290136561E-2</v>
      </c>
      <c r="E22" s="263">
        <v>1857</v>
      </c>
      <c r="F22" s="139">
        <f t="shared" si="0"/>
        <v>7.4366264867245999E-2</v>
      </c>
      <c r="G22" s="263">
        <v>412</v>
      </c>
      <c r="H22" s="139">
        <f t="shared" si="1"/>
        <v>1.649913900124144E-2</v>
      </c>
      <c r="I22" s="263">
        <v>21483</v>
      </c>
      <c r="J22" s="140">
        <f t="shared" si="2"/>
        <v>0.86031796884385892</v>
      </c>
    </row>
    <row r="23" spans="1:10" ht="13.5" thickBot="1" x14ac:dyDescent="0.35">
      <c r="A23" s="72" t="s">
        <v>21</v>
      </c>
      <c r="B23" s="269">
        <v>1520</v>
      </c>
      <c r="C23" s="264">
        <v>188</v>
      </c>
      <c r="D23" s="143">
        <f t="shared" si="3"/>
        <v>0.12368421052631579</v>
      </c>
      <c r="E23" s="264">
        <v>102</v>
      </c>
      <c r="F23" s="143">
        <f t="shared" si="0"/>
        <v>6.7105263157894737E-2</v>
      </c>
      <c r="G23" s="264">
        <v>37</v>
      </c>
      <c r="H23" s="143">
        <f t="shared" si="1"/>
        <v>2.4342105263157894E-2</v>
      </c>
      <c r="I23" s="264">
        <v>1267</v>
      </c>
      <c r="J23" s="144">
        <f t="shared" si="2"/>
        <v>0.83355263157894732</v>
      </c>
    </row>
    <row r="24" spans="1:10" s="84" customFormat="1" ht="13.5" thickBot="1" x14ac:dyDescent="0.35">
      <c r="A24" s="82" t="s">
        <v>60</v>
      </c>
      <c r="B24" s="265">
        <f>(C6)</f>
        <v>314887</v>
      </c>
      <c r="C24" s="266">
        <f>(D6)</f>
        <v>24587</v>
      </c>
      <c r="D24" s="145">
        <f t="shared" si="3"/>
        <v>7.8081978614550615E-2</v>
      </c>
      <c r="E24" s="266">
        <f>(E6)</f>
        <v>23850</v>
      </c>
      <c r="F24" s="145">
        <f t="shared" si="0"/>
        <v>7.5741456458983697E-2</v>
      </c>
      <c r="G24" s="266">
        <f>(F6)</f>
        <v>4337</v>
      </c>
      <c r="H24" s="145">
        <f t="shared" si="1"/>
        <v>1.3773194828621061E-2</v>
      </c>
      <c r="I24" s="266">
        <f>(G6)</f>
        <v>270787</v>
      </c>
      <c r="J24" s="146">
        <f t="shared" si="2"/>
        <v>0.8599497597550867</v>
      </c>
    </row>
    <row r="25" spans="1:10" x14ac:dyDescent="0.25">
      <c r="D25" s="56"/>
      <c r="E25" s="56"/>
      <c r="F25" s="56"/>
      <c r="G25" s="56"/>
      <c r="H25" s="56"/>
      <c r="I25" s="81"/>
    </row>
    <row r="29" spans="1:10" ht="12.75" hidden="1" customHeight="1" x14ac:dyDescent="0.25"/>
    <row r="30" spans="1:10" x14ac:dyDescent="0.25">
      <c r="G30" s="99"/>
    </row>
    <row r="31" spans="1:10" x14ac:dyDescent="0.25">
      <c r="G31" s="99"/>
    </row>
    <row r="35" spans="10:10" x14ac:dyDescent="0.25">
      <c r="J35" s="36"/>
    </row>
    <row r="59" spans="1:6" x14ac:dyDescent="0.25">
      <c r="A59" s="99"/>
      <c r="B59" s="99" t="s">
        <v>124</v>
      </c>
      <c r="C59" s="99" t="s">
        <v>125</v>
      </c>
      <c r="D59" s="99" t="s">
        <v>126</v>
      </c>
      <c r="E59" s="99" t="s">
        <v>127</v>
      </c>
      <c r="F59" s="99"/>
    </row>
    <row r="60" spans="1:6" ht="21" x14ac:dyDescent="0.25">
      <c r="A60" s="100" t="s">
        <v>122</v>
      </c>
      <c r="B60" s="101">
        <f>(I24)</f>
        <v>270787</v>
      </c>
      <c r="C60" s="101">
        <f>(C24)</f>
        <v>24587</v>
      </c>
      <c r="D60" s="101">
        <f>(E24)</f>
        <v>23850</v>
      </c>
      <c r="E60" s="101">
        <f>(G24)</f>
        <v>4337</v>
      </c>
      <c r="F60" s="99"/>
    </row>
    <row r="61" spans="1:6" x14ac:dyDescent="0.25">
      <c r="A61" s="103"/>
      <c r="B61" s="104"/>
      <c r="C61" s="104"/>
      <c r="D61" s="104"/>
      <c r="E61" s="105"/>
      <c r="F61" s="104"/>
    </row>
    <row r="62" spans="1:6" x14ac:dyDescent="0.25">
      <c r="A62" s="99"/>
      <c r="B62" s="99" t="s">
        <v>131</v>
      </c>
      <c r="C62" s="99" t="s">
        <v>132</v>
      </c>
      <c r="D62" s="99"/>
      <c r="E62" s="105"/>
      <c r="F62" s="104"/>
    </row>
    <row r="63" spans="1:6" x14ac:dyDescent="0.25">
      <c r="A63" s="99" t="s">
        <v>123</v>
      </c>
      <c r="B63" s="102">
        <f>'Screening uptake KPIs 1-7'!L19</f>
        <v>166578</v>
      </c>
      <c r="C63" s="102">
        <f>(I24-'Screening uptake KPIs 1-7'!L19)</f>
        <v>104209</v>
      </c>
      <c r="D63" s="99"/>
      <c r="E63" s="105"/>
      <c r="F63" s="104"/>
    </row>
  </sheetData>
  <mergeCells count="1">
    <mergeCell ref="C4:G4"/>
  </mergeCells>
  <phoneticPr fontId="2" type="noConversion"/>
  <printOptions horizontalCentered="1"/>
  <pageMargins left="0.55118110236220474" right="0.39370078740157483" top="0.39370078740157483" bottom="0.82677165354330717" header="0" footer="0.47244094488188981"/>
  <pageSetup paperSize="9" scale="63" orientation="landscape" r:id="rId1"/>
  <headerFooter alignWithMargins="0">
    <oddHeader xml:space="preserve">&amp;C
</oddHeader>
    <oddFooter>&amp;R&amp;A</oddFooter>
  </headerFooter>
  <ignoredErrors>
    <ignoredError sqref="D24 F24 H2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L29"/>
  <sheetViews>
    <sheetView topLeftCell="J1" zoomScale="80" workbookViewId="0">
      <selection activeCell="S3" sqref="S3:T3"/>
    </sheetView>
  </sheetViews>
  <sheetFormatPr defaultRowHeight="12.5" x14ac:dyDescent="0.25"/>
  <cols>
    <col min="1" max="1" width="20.54296875" customWidth="1"/>
    <col min="2" max="6" width="8" customWidth="1"/>
    <col min="7" max="8" width="22.1796875" customWidth="1"/>
    <col min="9" max="10" width="9.54296875" customWidth="1"/>
    <col min="11" max="11" width="9.54296875" style="2" customWidth="1"/>
    <col min="12" max="12" width="12.81640625" customWidth="1"/>
    <col min="13" max="14" width="12.81640625" style="2" customWidth="1"/>
    <col min="15" max="22" width="9.54296875" style="2" customWidth="1"/>
    <col min="23" max="45" width="9.1796875" style="9"/>
  </cols>
  <sheetData>
    <row r="1" spans="1:90" s="37" customFormat="1" ht="51" customHeight="1" thickBot="1" x14ac:dyDescent="0.3">
      <c r="B1" s="288" t="s">
        <v>0</v>
      </c>
      <c r="C1" s="289"/>
      <c r="D1" s="289"/>
      <c r="E1" s="289"/>
      <c r="F1" s="290"/>
      <c r="G1" s="294" t="s">
        <v>104</v>
      </c>
      <c r="H1" s="295"/>
      <c r="I1" s="280" t="s">
        <v>119</v>
      </c>
      <c r="J1" s="281"/>
      <c r="K1" s="282"/>
      <c r="L1" s="280" t="s">
        <v>117</v>
      </c>
      <c r="M1" s="282"/>
      <c r="N1" s="122" t="s">
        <v>97</v>
      </c>
      <c r="O1" s="280" t="s">
        <v>133</v>
      </c>
      <c r="P1" s="282"/>
      <c r="Q1" s="278" t="s">
        <v>118</v>
      </c>
      <c r="R1" s="279"/>
      <c r="S1" s="278" t="s">
        <v>134</v>
      </c>
      <c r="T1" s="279"/>
      <c r="U1" s="300" t="s">
        <v>48</v>
      </c>
      <c r="V1" s="279"/>
      <c r="W1" s="278" t="s">
        <v>120</v>
      </c>
      <c r="X1" s="301"/>
      <c r="Y1" s="279"/>
      <c r="Z1" s="296" t="s">
        <v>43</v>
      </c>
      <c r="AA1" s="281"/>
      <c r="AB1" s="282"/>
      <c r="AC1" s="296" t="s">
        <v>36</v>
      </c>
      <c r="AD1" s="281"/>
      <c r="AE1" s="282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</row>
    <row r="2" spans="1:90" s="37" customFormat="1" ht="68.900000000000006" customHeight="1" thickBot="1" x14ac:dyDescent="0.3">
      <c r="A2" s="254" t="s">
        <v>103</v>
      </c>
      <c r="B2" s="288"/>
      <c r="C2" s="289"/>
      <c r="D2" s="289"/>
      <c r="E2" s="289"/>
      <c r="F2" s="290"/>
      <c r="G2" s="274" t="s">
        <v>115</v>
      </c>
      <c r="H2" s="274" t="s">
        <v>114</v>
      </c>
      <c r="I2" s="291" t="s">
        <v>129</v>
      </c>
      <c r="J2" s="292"/>
      <c r="K2" s="293"/>
      <c r="L2" s="291" t="s">
        <v>130</v>
      </c>
      <c r="M2" s="293"/>
      <c r="N2" s="274" t="s">
        <v>98</v>
      </c>
      <c r="O2" s="291" t="s">
        <v>108</v>
      </c>
      <c r="P2" s="293"/>
      <c r="Q2" s="291" t="s">
        <v>135</v>
      </c>
      <c r="R2" s="293"/>
      <c r="S2" s="291" t="s">
        <v>108</v>
      </c>
      <c r="T2" s="293"/>
      <c r="U2" s="304" t="s">
        <v>95</v>
      </c>
      <c r="V2" s="305"/>
      <c r="W2" s="291" t="s">
        <v>136</v>
      </c>
      <c r="X2" s="306"/>
      <c r="Y2" s="307"/>
      <c r="Z2" s="291" t="s">
        <v>113</v>
      </c>
      <c r="AA2" s="306"/>
      <c r="AB2" s="307"/>
      <c r="AC2" s="308" t="s">
        <v>95</v>
      </c>
      <c r="AD2" s="309"/>
      <c r="AE2" s="310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</row>
    <row r="3" spans="1:90" ht="98.25" customHeight="1" thickBot="1" x14ac:dyDescent="0.3">
      <c r="A3" s="260" t="s">
        <v>107</v>
      </c>
      <c r="B3" s="25"/>
      <c r="C3" s="26"/>
      <c r="D3" s="26"/>
      <c r="E3" s="283"/>
      <c r="F3" s="284"/>
      <c r="G3" s="255"/>
      <c r="H3" s="255"/>
      <c r="I3" s="285" t="s">
        <v>137</v>
      </c>
      <c r="J3" s="286"/>
      <c r="K3" s="287"/>
      <c r="L3" s="285" t="s">
        <v>139</v>
      </c>
      <c r="M3" s="287"/>
      <c r="N3" s="257" t="s">
        <v>98</v>
      </c>
      <c r="O3" s="285" t="s">
        <v>112</v>
      </c>
      <c r="P3" s="287"/>
      <c r="Q3" s="285" t="s">
        <v>138</v>
      </c>
      <c r="R3" s="287"/>
      <c r="S3" s="285" t="s">
        <v>112</v>
      </c>
      <c r="T3" s="287"/>
      <c r="U3" s="302" t="s">
        <v>95</v>
      </c>
      <c r="V3" s="303"/>
      <c r="W3" s="297" t="s">
        <v>95</v>
      </c>
      <c r="X3" s="298"/>
      <c r="Y3" s="299"/>
      <c r="Z3" s="297" t="s">
        <v>95</v>
      </c>
      <c r="AA3" s="298"/>
      <c r="AB3" s="298"/>
      <c r="AC3" s="297" t="s">
        <v>95</v>
      </c>
      <c r="AD3" s="298"/>
      <c r="AE3" s="299"/>
    </row>
    <row r="4" spans="1:90" s="42" customFormat="1" ht="121.65" customHeight="1" thickBot="1" x14ac:dyDescent="0.3">
      <c r="A4" s="47" t="s">
        <v>18</v>
      </c>
      <c r="B4" s="38" t="s">
        <v>1</v>
      </c>
      <c r="C4" s="39" t="s">
        <v>14</v>
      </c>
      <c r="D4" s="39" t="s">
        <v>19</v>
      </c>
      <c r="E4" s="39" t="s">
        <v>15</v>
      </c>
      <c r="F4" s="40" t="s">
        <v>16</v>
      </c>
      <c r="G4" s="256" t="s">
        <v>105</v>
      </c>
      <c r="H4" s="256" t="s">
        <v>106</v>
      </c>
      <c r="I4" s="118" t="s">
        <v>45</v>
      </c>
      <c r="J4" s="35" t="s">
        <v>46</v>
      </c>
      <c r="K4" s="33" t="s">
        <v>66</v>
      </c>
      <c r="L4" s="35" t="s">
        <v>50</v>
      </c>
      <c r="M4" s="33" t="s">
        <v>65</v>
      </c>
      <c r="N4" s="33" t="s">
        <v>99</v>
      </c>
      <c r="O4" s="203" t="s">
        <v>102</v>
      </c>
      <c r="P4" s="33" t="s">
        <v>64</v>
      </c>
      <c r="Q4" s="202" t="s">
        <v>101</v>
      </c>
      <c r="R4" s="120" t="s">
        <v>63</v>
      </c>
      <c r="S4" s="119" t="s">
        <v>47</v>
      </c>
      <c r="T4" s="120" t="s">
        <v>62</v>
      </c>
      <c r="U4" s="119" t="s">
        <v>49</v>
      </c>
      <c r="V4" s="120" t="s">
        <v>61</v>
      </c>
      <c r="W4" s="34" t="s">
        <v>33</v>
      </c>
      <c r="X4" s="35" t="s">
        <v>58</v>
      </c>
      <c r="Y4" s="33" t="s">
        <v>67</v>
      </c>
      <c r="Z4" s="106" t="s">
        <v>34</v>
      </c>
      <c r="AA4" s="35" t="s">
        <v>35</v>
      </c>
      <c r="AB4" s="33" t="s">
        <v>68</v>
      </c>
      <c r="AC4" s="34" t="s">
        <v>37</v>
      </c>
      <c r="AD4" s="35" t="s">
        <v>82</v>
      </c>
      <c r="AE4" s="33" t="s">
        <v>69</v>
      </c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</row>
    <row r="5" spans="1:90" ht="15.75" customHeight="1" thickBot="1" x14ac:dyDescent="0.35">
      <c r="A5" s="31" t="s">
        <v>20</v>
      </c>
      <c r="B5" s="92">
        <f>('Summary Statistics KPI 0'!B10)</f>
        <v>25372</v>
      </c>
      <c r="C5" s="85">
        <f>('Summary Statistics KPI 0'!C10)</f>
        <v>1325</v>
      </c>
      <c r="D5" s="85">
        <f>('Summary Statistics KPI 0'!E10)</f>
        <v>2175</v>
      </c>
      <c r="E5" s="85">
        <f>('Summary Statistics KPI 0'!G10)</f>
        <v>19</v>
      </c>
      <c r="F5" s="93">
        <f>('Summary Statistics KPI 0'!I10)</f>
        <v>21891</v>
      </c>
      <c r="G5" s="258">
        <v>0.99</v>
      </c>
      <c r="H5" s="271">
        <v>0.97699999999999998</v>
      </c>
      <c r="I5" s="204">
        <v>1574</v>
      </c>
      <c r="J5" s="205">
        <v>17632</v>
      </c>
      <c r="K5" s="191">
        <f>J5/(F5-I5)</f>
        <v>0.86784466210562583</v>
      </c>
      <c r="L5" s="210">
        <v>13190</v>
      </c>
      <c r="M5" s="191">
        <f>L5/F5</f>
        <v>0.60253072038737376</v>
      </c>
      <c r="N5" s="123">
        <f t="shared" ref="N5:N15" si="0">(K5-M5)</f>
        <v>0.26531394171825207</v>
      </c>
      <c r="O5" s="210">
        <v>17319</v>
      </c>
      <c r="P5" s="191">
        <f t="shared" ref="P5:P19" si="1">O5/F5</f>
        <v>0.79114704673153347</v>
      </c>
      <c r="Q5" s="210">
        <v>13154</v>
      </c>
      <c r="R5" s="191">
        <f t="shared" ref="R5:R19" si="2">Q5/F5</f>
        <v>0.60088620894431499</v>
      </c>
      <c r="S5" s="210">
        <v>19342</v>
      </c>
      <c r="T5" s="191">
        <f t="shared" ref="T5:T19" si="3">S5/F5</f>
        <v>0.88355945365675392</v>
      </c>
      <c r="U5" s="210">
        <v>545</v>
      </c>
      <c r="V5" s="191">
        <f t="shared" ref="V5:V19" si="4">U5/F5</f>
        <v>2.4896076012973369E-2</v>
      </c>
      <c r="W5" s="210">
        <v>17385</v>
      </c>
      <c r="X5" s="210">
        <v>555</v>
      </c>
      <c r="Y5" s="191">
        <f>X5/W5</f>
        <v>3.1924072476272651E-2</v>
      </c>
      <c r="Z5" s="204">
        <v>1452</v>
      </c>
      <c r="AA5" s="205">
        <v>28</v>
      </c>
      <c r="AB5" s="123">
        <f>AA5/Z5</f>
        <v>1.928374655647383E-2</v>
      </c>
      <c r="AC5" s="220">
        <v>18837</v>
      </c>
      <c r="AD5" s="221">
        <v>583</v>
      </c>
      <c r="AE5" s="123">
        <f>AD5/AC5</f>
        <v>3.0949726601900516E-2</v>
      </c>
      <c r="AS5"/>
    </row>
    <row r="6" spans="1:90" ht="15.75" customHeight="1" thickBot="1" x14ac:dyDescent="0.35">
      <c r="A6" s="31" t="s">
        <v>2</v>
      </c>
      <c r="B6" s="92">
        <f>('Summary Statistics KPI 0'!B11)</f>
        <v>8304</v>
      </c>
      <c r="C6" s="85">
        <f>('Summary Statistics KPI 0'!C11)</f>
        <v>808</v>
      </c>
      <c r="D6" s="85">
        <f>('Summary Statistics KPI 0'!E11)</f>
        <v>1440</v>
      </c>
      <c r="E6" s="85">
        <f>('Summary Statistics KPI 0'!G11)</f>
        <v>59</v>
      </c>
      <c r="F6" s="93">
        <f>('Summary Statistics KPI 0'!I11)</f>
        <v>6115</v>
      </c>
      <c r="G6" s="258">
        <v>1</v>
      </c>
      <c r="H6" s="271">
        <v>0.99</v>
      </c>
      <c r="I6" s="206">
        <v>595</v>
      </c>
      <c r="J6" s="207">
        <v>4472</v>
      </c>
      <c r="K6" s="192">
        <f t="shared" ref="K6:K19" si="5">J6/(F6-I6)</f>
        <v>0.81014492753623191</v>
      </c>
      <c r="L6" s="211">
        <v>3783</v>
      </c>
      <c r="M6" s="192">
        <f t="shared" ref="M6:M19" si="6">L6/F6</f>
        <v>0.61864268192968108</v>
      </c>
      <c r="N6" s="116">
        <f t="shared" si="0"/>
        <v>0.19150224560655082</v>
      </c>
      <c r="O6" s="211">
        <v>4551</v>
      </c>
      <c r="P6" s="192">
        <f t="shared" si="1"/>
        <v>0.7442354865085854</v>
      </c>
      <c r="Q6" s="211">
        <v>3676</v>
      </c>
      <c r="R6" s="192">
        <f t="shared" si="2"/>
        <v>0.60114472608340153</v>
      </c>
      <c r="S6" s="211">
        <v>5084</v>
      </c>
      <c r="T6" s="192">
        <f t="shared" si="3"/>
        <v>0.83139820114472607</v>
      </c>
      <c r="U6" s="211">
        <v>86</v>
      </c>
      <c r="V6" s="192">
        <f t="shared" si="4"/>
        <v>1.4063777596075225E-2</v>
      </c>
      <c r="W6" s="211">
        <v>4834</v>
      </c>
      <c r="X6" s="211">
        <v>95</v>
      </c>
      <c r="Y6" s="192">
        <f t="shared" ref="Y6:Y19" si="7">X6/W6</f>
        <v>1.9652461729416631E-2</v>
      </c>
      <c r="Z6" s="206">
        <v>271</v>
      </c>
      <c r="AA6" s="207">
        <v>3</v>
      </c>
      <c r="AB6" s="116">
        <f t="shared" ref="AB6:AB18" si="8">AA6/Z6</f>
        <v>1.107011070110701E-2</v>
      </c>
      <c r="AC6" s="222">
        <v>5105</v>
      </c>
      <c r="AD6" s="223">
        <v>98</v>
      </c>
      <c r="AE6" s="116">
        <f t="shared" ref="AE6:AE19" si="9">AD6/AC6</f>
        <v>1.9196865817825662E-2</v>
      </c>
      <c r="AR6"/>
      <c r="AS6"/>
    </row>
    <row r="7" spans="1:90" ht="15.75" customHeight="1" thickBot="1" x14ac:dyDescent="0.35">
      <c r="A7" s="31" t="s">
        <v>3</v>
      </c>
      <c r="B7" s="92">
        <f>('Summary Statistics KPI 0'!B12)</f>
        <v>10275</v>
      </c>
      <c r="C7" s="85">
        <f>('Summary Statistics KPI 0'!C12)</f>
        <v>1011</v>
      </c>
      <c r="D7" s="85">
        <f>('Summary Statistics KPI 0'!E12)</f>
        <v>932</v>
      </c>
      <c r="E7" s="85">
        <f>('Summary Statistics KPI 0'!G12)</f>
        <v>173</v>
      </c>
      <c r="F7" s="93">
        <f>('Summary Statistics KPI 0'!I12)</f>
        <v>8505</v>
      </c>
      <c r="G7" s="258">
        <v>0.98</v>
      </c>
      <c r="H7" s="271">
        <v>1</v>
      </c>
      <c r="I7" s="206">
        <v>728</v>
      </c>
      <c r="J7" s="207">
        <v>7114</v>
      </c>
      <c r="K7" s="192">
        <f t="shared" si="5"/>
        <v>0.9147486177189148</v>
      </c>
      <c r="L7" s="211">
        <v>6342</v>
      </c>
      <c r="M7" s="192">
        <f t="shared" si="6"/>
        <v>0.74567901234567902</v>
      </c>
      <c r="N7" s="116">
        <f t="shared" si="0"/>
        <v>0.16906960537323579</v>
      </c>
      <c r="O7" s="211">
        <v>7496</v>
      </c>
      <c r="P7" s="192">
        <f t="shared" si="1"/>
        <v>0.88136390358612582</v>
      </c>
      <c r="Q7" s="211">
        <v>6285</v>
      </c>
      <c r="R7" s="192">
        <f t="shared" si="2"/>
        <v>0.73897707231040566</v>
      </c>
      <c r="S7" s="211">
        <v>7974</v>
      </c>
      <c r="T7" s="192">
        <f t="shared" si="3"/>
        <v>0.9375661375661376</v>
      </c>
      <c r="U7" s="211">
        <v>61</v>
      </c>
      <c r="V7" s="192">
        <f t="shared" si="4"/>
        <v>7.1722516166960616E-3</v>
      </c>
      <c r="W7" s="211">
        <v>8160</v>
      </c>
      <c r="X7" s="211">
        <v>71</v>
      </c>
      <c r="Y7" s="192">
        <f t="shared" si="7"/>
        <v>8.7009803921568631E-3</v>
      </c>
      <c r="Z7" s="206">
        <v>117</v>
      </c>
      <c r="AA7" s="207">
        <v>5</v>
      </c>
      <c r="AB7" s="116">
        <f t="shared" si="8"/>
        <v>4.2735042735042736E-2</v>
      </c>
      <c r="AC7" s="222">
        <v>8277</v>
      </c>
      <c r="AD7" s="223">
        <v>76</v>
      </c>
      <c r="AE7" s="116">
        <f t="shared" si="9"/>
        <v>9.1820707985985264E-3</v>
      </c>
      <c r="AR7"/>
      <c r="AS7"/>
    </row>
    <row r="8" spans="1:90" ht="15.75" customHeight="1" thickBot="1" x14ac:dyDescent="0.35">
      <c r="A8" s="31" t="s">
        <v>4</v>
      </c>
      <c r="B8" s="92">
        <f>('Summary Statistics KPI 0'!B13)</f>
        <v>22251</v>
      </c>
      <c r="C8" s="85">
        <f>('Summary Statistics KPI 0'!C13)</f>
        <v>1904</v>
      </c>
      <c r="D8" s="85">
        <f>('Summary Statistics KPI 0'!E13)</f>
        <v>1139</v>
      </c>
      <c r="E8" s="85">
        <f>('Summary Statistics KPI 0'!G13)</f>
        <v>137</v>
      </c>
      <c r="F8" s="93">
        <f>('Summary Statistics KPI 0'!I13)</f>
        <v>19345</v>
      </c>
      <c r="G8" s="258">
        <v>0.95199999999999996</v>
      </c>
      <c r="H8" s="271">
        <v>1</v>
      </c>
      <c r="I8" s="206">
        <v>2304</v>
      </c>
      <c r="J8" s="207">
        <v>12871</v>
      </c>
      <c r="K8" s="192">
        <f t="shared" si="5"/>
        <v>0.75529605070124994</v>
      </c>
      <c r="L8" s="211">
        <v>11859</v>
      </c>
      <c r="M8" s="192">
        <f t="shared" si="6"/>
        <v>0.61302662186611523</v>
      </c>
      <c r="N8" s="116">
        <f t="shared" si="0"/>
        <v>0.14226942883513471</v>
      </c>
      <c r="O8" s="211">
        <v>15793</v>
      </c>
      <c r="P8" s="192">
        <f t="shared" si="1"/>
        <v>0.81638666322047038</v>
      </c>
      <c r="Q8" s="211">
        <v>11592</v>
      </c>
      <c r="R8" s="192">
        <f t="shared" si="2"/>
        <v>0.59922460584130266</v>
      </c>
      <c r="S8" s="211">
        <v>17430</v>
      </c>
      <c r="T8" s="192">
        <f t="shared" si="3"/>
        <v>0.90100801240630657</v>
      </c>
      <c r="U8" s="211">
        <v>353</v>
      </c>
      <c r="V8" s="192">
        <f t="shared" si="4"/>
        <v>1.8247609201344016E-2</v>
      </c>
      <c r="W8" s="211">
        <v>16162</v>
      </c>
      <c r="X8" s="211">
        <v>376</v>
      </c>
      <c r="Y8" s="192">
        <f t="shared" si="7"/>
        <v>2.3264447469372604E-2</v>
      </c>
      <c r="Z8" s="206">
        <v>1451</v>
      </c>
      <c r="AA8" s="207">
        <v>4</v>
      </c>
      <c r="AB8" s="116">
        <f t="shared" si="8"/>
        <v>2.7567195037904893E-3</v>
      </c>
      <c r="AC8" s="222">
        <v>17613</v>
      </c>
      <c r="AD8" s="223">
        <v>380</v>
      </c>
      <c r="AE8" s="116">
        <f t="shared" si="9"/>
        <v>2.1574973031283712E-2</v>
      </c>
      <c r="AG8" s="16"/>
      <c r="AR8"/>
      <c r="AS8"/>
    </row>
    <row r="9" spans="1:90" ht="15.75" customHeight="1" thickBot="1" x14ac:dyDescent="0.35">
      <c r="A9" s="31" t="s">
        <v>5</v>
      </c>
      <c r="B9" s="92">
        <f>('Summary Statistics KPI 0'!B14)</f>
        <v>17424</v>
      </c>
      <c r="C9" s="85">
        <f>('Summary Statistics KPI 0'!C14)</f>
        <v>940</v>
      </c>
      <c r="D9" s="85">
        <f>('Summary Statistics KPI 0'!E14)</f>
        <v>656</v>
      </c>
      <c r="E9" s="85">
        <f>('Summary Statistics KPI 0'!G14)</f>
        <v>337</v>
      </c>
      <c r="F9" s="93">
        <f>('Summary Statistics KPI 0'!I14)</f>
        <v>16165</v>
      </c>
      <c r="G9" s="258">
        <v>0.99</v>
      </c>
      <c r="H9" s="271">
        <v>1</v>
      </c>
      <c r="I9" s="206">
        <v>1626</v>
      </c>
      <c r="J9" s="207">
        <v>10094</v>
      </c>
      <c r="K9" s="192">
        <f t="shared" si="5"/>
        <v>0.69427058257101593</v>
      </c>
      <c r="L9" s="211">
        <v>9568</v>
      </c>
      <c r="M9" s="192">
        <f t="shared" si="6"/>
        <v>0.59189607175997527</v>
      </c>
      <c r="N9" s="116">
        <f t="shared" si="0"/>
        <v>0.10237451081104065</v>
      </c>
      <c r="O9" s="211">
        <v>12296</v>
      </c>
      <c r="P9" s="192">
        <f t="shared" si="1"/>
        <v>0.76065573770491801</v>
      </c>
      <c r="Q9" s="211">
        <v>9355</v>
      </c>
      <c r="R9" s="192">
        <f t="shared" si="2"/>
        <v>0.57871945561398086</v>
      </c>
      <c r="S9" s="211">
        <v>14303</v>
      </c>
      <c r="T9" s="192">
        <f t="shared" si="3"/>
        <v>0.8848128673059078</v>
      </c>
      <c r="U9" s="211">
        <v>380</v>
      </c>
      <c r="V9" s="192">
        <f t="shared" si="4"/>
        <v>2.3507578100835137E-2</v>
      </c>
      <c r="W9" s="211">
        <v>12008</v>
      </c>
      <c r="X9" s="211">
        <v>399</v>
      </c>
      <c r="Y9" s="192">
        <f t="shared" si="7"/>
        <v>3.3227848101265819E-2</v>
      </c>
      <c r="Z9" s="206">
        <v>1226</v>
      </c>
      <c r="AA9" s="207">
        <v>13</v>
      </c>
      <c r="AB9" s="116">
        <f t="shared" si="8"/>
        <v>1.0603588907014683E-2</v>
      </c>
      <c r="AC9" s="222">
        <v>13234</v>
      </c>
      <c r="AD9" s="223">
        <v>412</v>
      </c>
      <c r="AE9" s="116">
        <f t="shared" si="9"/>
        <v>3.113193290010579E-2</v>
      </c>
      <c r="AG9" s="16"/>
      <c r="AJ9"/>
      <c r="AK9"/>
      <c r="AL9"/>
      <c r="AM9"/>
      <c r="AN9"/>
      <c r="AO9"/>
      <c r="AP9"/>
      <c r="AQ9"/>
      <c r="AR9"/>
      <c r="AS9"/>
    </row>
    <row r="10" spans="1:90" s="11" customFormat="1" ht="15.75" customHeight="1" thickBot="1" x14ac:dyDescent="0.35">
      <c r="A10" s="65" t="s">
        <v>6</v>
      </c>
      <c r="B10" s="92">
        <f>('Summary Statistics KPI 0'!B15)</f>
        <v>31343</v>
      </c>
      <c r="C10" s="85">
        <f>('Summary Statistics KPI 0'!C15)</f>
        <v>1634</v>
      </c>
      <c r="D10" s="85">
        <f>('Summary Statistics KPI 0'!E15)</f>
        <v>2982</v>
      </c>
      <c r="E10" s="85">
        <f>('Summary Statistics KPI 0'!G15)</f>
        <v>339</v>
      </c>
      <c r="F10" s="93">
        <f>('Summary Statistics KPI 0'!I15)</f>
        <v>27066</v>
      </c>
      <c r="G10" s="258">
        <v>0.94299999999999995</v>
      </c>
      <c r="H10" s="271">
        <v>1</v>
      </c>
      <c r="I10" s="206">
        <v>2968</v>
      </c>
      <c r="J10" s="207">
        <v>18802</v>
      </c>
      <c r="K10" s="193">
        <f t="shared" si="5"/>
        <v>0.7802307245414557</v>
      </c>
      <c r="L10" s="211">
        <v>16610</v>
      </c>
      <c r="M10" s="193">
        <f t="shared" si="6"/>
        <v>0.61368506613463381</v>
      </c>
      <c r="N10" s="116">
        <f t="shared" si="0"/>
        <v>0.16654565840682189</v>
      </c>
      <c r="O10" s="211">
        <v>21152</v>
      </c>
      <c r="P10" s="193">
        <f t="shared" si="1"/>
        <v>0.78149708120889672</v>
      </c>
      <c r="Q10" s="211">
        <v>15917</v>
      </c>
      <c r="R10" s="193">
        <f t="shared" si="2"/>
        <v>0.58808098721643387</v>
      </c>
      <c r="S10" s="211">
        <v>24216</v>
      </c>
      <c r="T10" s="193">
        <f t="shared" si="3"/>
        <v>0.89470183994679675</v>
      </c>
      <c r="U10" s="211">
        <v>544</v>
      </c>
      <c r="V10" s="193">
        <f t="shared" si="4"/>
        <v>2.0099017217172836E-2</v>
      </c>
      <c r="W10" s="211">
        <v>22489</v>
      </c>
      <c r="X10" s="211">
        <v>586</v>
      </c>
      <c r="Y10" s="193">
        <f t="shared" si="7"/>
        <v>2.6057183511939169E-2</v>
      </c>
      <c r="Z10" s="206">
        <v>1109</v>
      </c>
      <c r="AA10" s="207">
        <v>7</v>
      </c>
      <c r="AB10" s="195">
        <f t="shared" si="8"/>
        <v>6.3119927862939585E-3</v>
      </c>
      <c r="AC10" s="222">
        <v>23598</v>
      </c>
      <c r="AD10" s="223">
        <v>593</v>
      </c>
      <c r="AE10" s="195">
        <f t="shared" si="9"/>
        <v>2.5129248241376387E-2</v>
      </c>
      <c r="AF10" s="9"/>
      <c r="AG10" s="16"/>
      <c r="AH10" s="9"/>
      <c r="AI10" s="9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</row>
    <row r="11" spans="1:90" ht="15.75" customHeight="1" thickBot="1" x14ac:dyDescent="0.35">
      <c r="A11" s="31" t="s">
        <v>7</v>
      </c>
      <c r="B11" s="92">
        <f>('Summary Statistics KPI 0'!B16)</f>
        <v>66685</v>
      </c>
      <c r="C11" s="85">
        <f>('Summary Statistics KPI 0'!C16)</f>
        <v>6795</v>
      </c>
      <c r="D11" s="85">
        <f>('Summary Statistics KPI 0'!E16)</f>
        <v>3444</v>
      </c>
      <c r="E11" s="85">
        <f>('Summary Statistics KPI 0'!G16)</f>
        <v>1642</v>
      </c>
      <c r="F11" s="93">
        <f>('Summary Statistics KPI 0'!I16)</f>
        <v>58088</v>
      </c>
      <c r="G11" s="258">
        <v>0.96599999999999997</v>
      </c>
      <c r="H11" s="271">
        <v>1</v>
      </c>
      <c r="I11" s="206">
        <v>4459</v>
      </c>
      <c r="J11" s="207">
        <v>41743</v>
      </c>
      <c r="K11" s="192">
        <f t="shared" si="5"/>
        <v>0.77836618247589928</v>
      </c>
      <c r="L11" s="211">
        <v>35435</v>
      </c>
      <c r="M11" s="192">
        <f t="shared" si="6"/>
        <v>0.61002272414268011</v>
      </c>
      <c r="N11" s="116">
        <f t="shared" si="0"/>
        <v>0.16834345833321918</v>
      </c>
      <c r="O11" s="211">
        <v>45156</v>
      </c>
      <c r="P11" s="192">
        <f t="shared" si="1"/>
        <v>0.77737226277372262</v>
      </c>
      <c r="Q11" s="211">
        <v>34902</v>
      </c>
      <c r="R11" s="192">
        <f t="shared" si="2"/>
        <v>0.60084699077262083</v>
      </c>
      <c r="S11" s="211">
        <v>51006</v>
      </c>
      <c r="T11" s="192">
        <f t="shared" si="3"/>
        <v>0.87808153146949453</v>
      </c>
      <c r="U11" s="211">
        <v>879</v>
      </c>
      <c r="V11" s="192">
        <f t="shared" si="4"/>
        <v>1.5132213193774962E-2</v>
      </c>
      <c r="W11" s="211">
        <v>43952</v>
      </c>
      <c r="X11" s="211">
        <v>928</v>
      </c>
      <c r="Y11" s="192">
        <f t="shared" si="7"/>
        <v>2.1113942482708408E-2</v>
      </c>
      <c r="Z11" s="206">
        <v>3698</v>
      </c>
      <c r="AA11" s="207">
        <v>0</v>
      </c>
      <c r="AB11" s="116">
        <f t="shared" si="8"/>
        <v>0</v>
      </c>
      <c r="AC11" s="222">
        <v>47650</v>
      </c>
      <c r="AD11" s="223">
        <v>0</v>
      </c>
      <c r="AE11" s="116">
        <f t="shared" si="9"/>
        <v>0</v>
      </c>
      <c r="AG11" s="16"/>
      <c r="AJ11"/>
      <c r="AK11"/>
      <c r="AL11"/>
      <c r="AM11"/>
      <c r="AN11"/>
      <c r="AO11"/>
      <c r="AP11"/>
      <c r="AQ11"/>
      <c r="AR11"/>
      <c r="AS11"/>
    </row>
    <row r="12" spans="1:90" ht="15.75" customHeight="1" thickBot="1" x14ac:dyDescent="0.35">
      <c r="A12" s="31" t="s">
        <v>8</v>
      </c>
      <c r="B12" s="92">
        <f>('Summary Statistics KPI 0'!B17)</f>
        <v>18521</v>
      </c>
      <c r="C12" s="85">
        <f>('Summary Statistics KPI 0'!C17)</f>
        <v>1510</v>
      </c>
      <c r="D12" s="85">
        <f>('Summary Statistics KPI 0'!E17)</f>
        <v>1373</v>
      </c>
      <c r="E12" s="85">
        <f>('Summary Statistics KPI 0'!G17)</f>
        <v>313</v>
      </c>
      <c r="F12" s="93">
        <f>('Summary Statistics KPI 0'!I17)</f>
        <v>15951</v>
      </c>
      <c r="G12" s="258">
        <v>1</v>
      </c>
      <c r="H12" s="271">
        <v>0.97699999999999998</v>
      </c>
      <c r="I12" s="206">
        <v>4009</v>
      </c>
      <c r="J12" s="207">
        <v>8136</v>
      </c>
      <c r="K12" s="192">
        <f t="shared" si="5"/>
        <v>0.68129291575950424</v>
      </c>
      <c r="L12" s="211">
        <v>9771</v>
      </c>
      <c r="M12" s="192">
        <f t="shared" si="6"/>
        <v>0.61256347564416025</v>
      </c>
      <c r="N12" s="116">
        <f t="shared" si="0"/>
        <v>6.8729440115343987E-2</v>
      </c>
      <c r="O12" s="211">
        <v>11967</v>
      </c>
      <c r="P12" s="192">
        <f t="shared" si="1"/>
        <v>0.75023509497837126</v>
      </c>
      <c r="Q12" s="211">
        <v>9539</v>
      </c>
      <c r="R12" s="192">
        <f t="shared" si="2"/>
        <v>0.59801893298225817</v>
      </c>
      <c r="S12" s="211">
        <v>13273</v>
      </c>
      <c r="T12" s="192">
        <f t="shared" si="3"/>
        <v>0.83211083944580277</v>
      </c>
      <c r="U12" s="211">
        <v>497</v>
      </c>
      <c r="V12" s="192">
        <f t="shared" si="4"/>
        <v>3.1157921133471256E-2</v>
      </c>
      <c r="W12" s="211">
        <v>12688</v>
      </c>
      <c r="X12" s="211">
        <v>695</v>
      </c>
      <c r="Y12" s="192">
        <f t="shared" si="7"/>
        <v>5.4776166456494323E-2</v>
      </c>
      <c r="Z12" s="206">
        <v>980</v>
      </c>
      <c r="AA12" s="207">
        <v>18</v>
      </c>
      <c r="AB12" s="116">
        <f t="shared" si="8"/>
        <v>1.8367346938775512E-2</v>
      </c>
      <c r="AC12" s="222">
        <v>13668</v>
      </c>
      <c r="AD12" s="223">
        <v>713</v>
      </c>
      <c r="AE12" s="116">
        <f t="shared" si="9"/>
        <v>5.216564237635353E-2</v>
      </c>
      <c r="AG12" s="16"/>
      <c r="AJ12"/>
      <c r="AK12"/>
      <c r="AL12"/>
      <c r="AM12"/>
      <c r="AN12"/>
      <c r="AO12"/>
      <c r="AP12"/>
      <c r="AQ12"/>
      <c r="AR12"/>
      <c r="AS12"/>
    </row>
    <row r="13" spans="1:90" ht="15.75" customHeight="1" thickBot="1" x14ac:dyDescent="0.35">
      <c r="A13" s="31" t="s">
        <v>9</v>
      </c>
      <c r="B13" s="92">
        <f>('Summary Statistics KPI 0'!B18)</f>
        <v>40178</v>
      </c>
      <c r="C13" s="85">
        <f>('Summary Statistics KPI 0'!C18)</f>
        <v>3413</v>
      </c>
      <c r="D13" s="85">
        <f>('Summary Statistics KPI 0'!E18)</f>
        <v>2349</v>
      </c>
      <c r="E13" s="85">
        <f>('Summary Statistics KPI 0'!G18)</f>
        <v>653</v>
      </c>
      <c r="F13" s="93">
        <f>('Summary Statistics KPI 0'!I18)</f>
        <v>35069</v>
      </c>
      <c r="G13" s="258">
        <v>0.873</v>
      </c>
      <c r="H13" s="271">
        <v>0.98599999999999999</v>
      </c>
      <c r="I13" s="206">
        <v>5693</v>
      </c>
      <c r="J13" s="207">
        <v>23439</v>
      </c>
      <c r="K13" s="192">
        <f t="shared" si="5"/>
        <v>0.79789624183006536</v>
      </c>
      <c r="L13" s="211">
        <v>21953</v>
      </c>
      <c r="M13" s="192">
        <f t="shared" si="6"/>
        <v>0.62599446804870396</v>
      </c>
      <c r="N13" s="116">
        <f t="shared" si="0"/>
        <v>0.1719017737813614</v>
      </c>
      <c r="O13" s="211">
        <v>25656</v>
      </c>
      <c r="P13" s="192">
        <f t="shared" si="1"/>
        <v>0.73158630129173918</v>
      </c>
      <c r="Q13" s="211">
        <v>21052</v>
      </c>
      <c r="R13" s="192">
        <f t="shared" si="2"/>
        <v>0.60030226125638031</v>
      </c>
      <c r="S13" s="211">
        <v>28706</v>
      </c>
      <c r="T13" s="192">
        <f t="shared" si="3"/>
        <v>0.81855770053323451</v>
      </c>
      <c r="U13" s="211">
        <v>648</v>
      </c>
      <c r="V13" s="192">
        <f t="shared" si="4"/>
        <v>1.8477857937209501E-2</v>
      </c>
      <c r="W13" s="211">
        <v>26512</v>
      </c>
      <c r="X13" s="211">
        <v>628</v>
      </c>
      <c r="Y13" s="192">
        <f t="shared" si="7"/>
        <v>2.3687386843693422E-2</v>
      </c>
      <c r="Z13" s="206">
        <v>2225</v>
      </c>
      <c r="AA13" s="207">
        <v>64</v>
      </c>
      <c r="AB13" s="116">
        <f t="shared" si="8"/>
        <v>2.8764044943820226E-2</v>
      </c>
      <c r="AC13" s="222">
        <v>28737</v>
      </c>
      <c r="AD13" s="223">
        <v>692</v>
      </c>
      <c r="AE13" s="116">
        <f t="shared" si="9"/>
        <v>2.408045377040053E-2</v>
      </c>
      <c r="AG13" s="16"/>
      <c r="AJ13"/>
      <c r="AK13"/>
      <c r="AL13"/>
      <c r="AM13"/>
      <c r="AN13"/>
      <c r="AO13"/>
      <c r="AP13"/>
      <c r="AQ13"/>
      <c r="AR13"/>
      <c r="AS13"/>
    </row>
    <row r="14" spans="1:90" ht="15.75" customHeight="1" thickBot="1" x14ac:dyDescent="0.35">
      <c r="A14" s="31" t="s">
        <v>10</v>
      </c>
      <c r="B14" s="92">
        <f>('Summary Statistics KPI 0'!B19)</f>
        <v>45566</v>
      </c>
      <c r="C14" s="85">
        <f>('Summary Statistics KPI 0'!C19)</f>
        <v>2827</v>
      </c>
      <c r="D14" s="85">
        <f>('Summary Statistics KPI 0'!E19)</f>
        <v>5223</v>
      </c>
      <c r="E14" s="85">
        <f>('Summary Statistics KPI 0'!G19)</f>
        <v>171</v>
      </c>
      <c r="F14" s="93">
        <f>('Summary Statistics KPI 0'!I19)</f>
        <v>37687</v>
      </c>
      <c r="G14" s="258">
        <v>1</v>
      </c>
      <c r="H14" s="271">
        <v>0.98799999999999999</v>
      </c>
      <c r="I14" s="206">
        <v>4857</v>
      </c>
      <c r="J14" s="207">
        <v>23878</v>
      </c>
      <c r="K14" s="192">
        <f t="shared" si="5"/>
        <v>0.72732257081937257</v>
      </c>
      <c r="L14" s="211">
        <v>22695</v>
      </c>
      <c r="M14" s="192">
        <f t="shared" si="6"/>
        <v>0.60219704407355323</v>
      </c>
      <c r="N14" s="116">
        <f t="shared" si="0"/>
        <v>0.12512552674581934</v>
      </c>
      <c r="O14" s="211">
        <v>28471</v>
      </c>
      <c r="P14" s="192">
        <f t="shared" si="1"/>
        <v>0.75545944224799</v>
      </c>
      <c r="Q14" s="211">
        <v>22297</v>
      </c>
      <c r="R14" s="192">
        <f t="shared" si="2"/>
        <v>0.59163637328521768</v>
      </c>
      <c r="S14" s="211">
        <v>32586</v>
      </c>
      <c r="T14" s="192">
        <f t="shared" si="3"/>
        <v>0.86464828720779052</v>
      </c>
      <c r="U14" s="211">
        <v>637</v>
      </c>
      <c r="V14" s="192">
        <f t="shared" si="4"/>
        <v>1.6902380131079683E-2</v>
      </c>
      <c r="W14" s="211">
        <v>28405</v>
      </c>
      <c r="X14" s="211">
        <v>697</v>
      </c>
      <c r="Y14" s="192">
        <f t="shared" si="7"/>
        <v>2.4537933462418587E-2</v>
      </c>
      <c r="Z14" s="206">
        <v>2862</v>
      </c>
      <c r="AA14" s="207">
        <v>65</v>
      </c>
      <c r="AB14" s="116">
        <f t="shared" si="8"/>
        <v>2.2711390635918937E-2</v>
      </c>
      <c r="AC14" s="222">
        <v>31267</v>
      </c>
      <c r="AD14" s="223">
        <v>762</v>
      </c>
      <c r="AE14" s="116">
        <f t="shared" si="9"/>
        <v>2.437074231618E-2</v>
      </c>
      <c r="AG14" s="16"/>
      <c r="AJ14"/>
      <c r="AK14"/>
      <c r="AL14"/>
      <c r="AM14"/>
      <c r="AN14"/>
      <c r="AO14"/>
      <c r="AP14"/>
      <c r="AQ14"/>
      <c r="AR14"/>
      <c r="AS14"/>
    </row>
    <row r="15" spans="1:90" ht="15.75" customHeight="1" thickBot="1" x14ac:dyDescent="0.35">
      <c r="A15" s="31" t="s">
        <v>11</v>
      </c>
      <c r="B15" s="92">
        <f>('Summary Statistics KPI 0'!B20)</f>
        <v>1256</v>
      </c>
      <c r="C15" s="85">
        <f>('Summary Statistics KPI 0'!C20)</f>
        <v>83</v>
      </c>
      <c r="D15" s="85">
        <f>('Summary Statistics KPI 0'!E20)</f>
        <v>93</v>
      </c>
      <c r="E15" s="85">
        <f>('Summary Statistics KPI 0'!G20)</f>
        <v>10</v>
      </c>
      <c r="F15" s="93">
        <f>('Summary Statistics KPI 0'!I20)</f>
        <v>1090</v>
      </c>
      <c r="G15" s="258">
        <v>0.98699999999999999</v>
      </c>
      <c r="H15" s="271">
        <v>1</v>
      </c>
      <c r="I15" s="206">
        <v>12</v>
      </c>
      <c r="J15" s="207">
        <v>940</v>
      </c>
      <c r="K15" s="192">
        <f t="shared" si="5"/>
        <v>0.8719851576994434</v>
      </c>
      <c r="L15" s="211">
        <v>757</v>
      </c>
      <c r="M15" s="192">
        <f t="shared" si="6"/>
        <v>0.69449541284403671</v>
      </c>
      <c r="N15" s="116">
        <f t="shared" si="0"/>
        <v>0.17748974485540669</v>
      </c>
      <c r="O15" s="211">
        <v>948</v>
      </c>
      <c r="P15" s="192">
        <f t="shared" si="1"/>
        <v>0.86972477064220188</v>
      </c>
      <c r="Q15" s="211">
        <v>740</v>
      </c>
      <c r="R15" s="192">
        <f t="shared" si="2"/>
        <v>0.67889908256880738</v>
      </c>
      <c r="S15" s="211">
        <v>1016</v>
      </c>
      <c r="T15" s="192">
        <f t="shared" si="3"/>
        <v>0.93211009174311932</v>
      </c>
      <c r="U15" s="211">
        <v>23</v>
      </c>
      <c r="V15" s="192">
        <f t="shared" si="4"/>
        <v>2.1100917431192662E-2</v>
      </c>
      <c r="W15" s="211">
        <v>1013</v>
      </c>
      <c r="X15" s="211">
        <v>28</v>
      </c>
      <c r="Y15" s="192">
        <f t="shared" si="7"/>
        <v>2.7640671273445213E-2</v>
      </c>
      <c r="Z15" s="206">
        <v>55</v>
      </c>
      <c r="AA15" s="207">
        <v>0</v>
      </c>
      <c r="AB15" s="116">
        <f t="shared" si="8"/>
        <v>0</v>
      </c>
      <c r="AC15" s="222">
        <v>1068</v>
      </c>
      <c r="AD15" s="223">
        <v>0</v>
      </c>
      <c r="AE15" s="116">
        <f t="shared" si="9"/>
        <v>0</v>
      </c>
      <c r="AJ15"/>
      <c r="AK15"/>
      <c r="AL15"/>
      <c r="AM15"/>
      <c r="AN15"/>
      <c r="AO15"/>
      <c r="AP15"/>
      <c r="AQ15"/>
      <c r="AR15"/>
      <c r="AS15"/>
    </row>
    <row r="16" spans="1:90" ht="15.75" customHeight="1" thickBot="1" x14ac:dyDescent="0.35">
      <c r="A16" s="31" t="s">
        <v>12</v>
      </c>
      <c r="B16" s="92">
        <f>('Summary Statistics KPI 0'!B21)</f>
        <v>1221</v>
      </c>
      <c r="C16" s="85">
        <f>('Summary Statistics KPI 0'!C21)</f>
        <v>106</v>
      </c>
      <c r="D16" s="85">
        <f>('Summary Statistics KPI 0'!E21)</f>
        <v>85</v>
      </c>
      <c r="E16" s="85">
        <f>('Summary Statistics KPI 0'!G21)</f>
        <v>35</v>
      </c>
      <c r="F16" s="93">
        <f>('Summary Statistics KPI 0'!I21)</f>
        <v>1065</v>
      </c>
      <c r="G16" s="258">
        <v>1</v>
      </c>
      <c r="H16" s="271">
        <v>1</v>
      </c>
      <c r="I16" s="206">
        <v>624</v>
      </c>
      <c r="J16" s="207">
        <v>3</v>
      </c>
      <c r="K16" s="192">
        <v>2E-3</v>
      </c>
      <c r="L16" s="211">
        <v>626</v>
      </c>
      <c r="M16" s="192">
        <f t="shared" si="6"/>
        <v>0.58779342723004691</v>
      </c>
      <c r="N16" s="116" t="s">
        <v>100</v>
      </c>
      <c r="O16" s="211">
        <v>797</v>
      </c>
      <c r="P16" s="192">
        <f t="shared" si="1"/>
        <v>0.74835680751173705</v>
      </c>
      <c r="Q16" s="211">
        <v>597</v>
      </c>
      <c r="R16" s="192">
        <f t="shared" si="2"/>
        <v>0.56056338028169017</v>
      </c>
      <c r="S16" s="211">
        <v>964</v>
      </c>
      <c r="T16" s="192">
        <f t="shared" si="3"/>
        <v>0.90516431924882634</v>
      </c>
      <c r="U16" s="211">
        <v>13</v>
      </c>
      <c r="V16" s="192">
        <f t="shared" si="4"/>
        <v>1.2206572769953052E-2</v>
      </c>
      <c r="W16" s="211">
        <v>850</v>
      </c>
      <c r="X16" s="211">
        <v>15</v>
      </c>
      <c r="Y16" s="192">
        <f t="shared" si="7"/>
        <v>1.7647058823529412E-2</v>
      </c>
      <c r="Z16" s="206">
        <v>51</v>
      </c>
      <c r="AA16" s="207">
        <v>0</v>
      </c>
      <c r="AB16" s="116">
        <f t="shared" si="8"/>
        <v>0</v>
      </c>
      <c r="AC16" s="222">
        <v>901</v>
      </c>
      <c r="AD16" s="223">
        <v>0</v>
      </c>
      <c r="AE16" s="116">
        <f t="shared" si="9"/>
        <v>0</v>
      </c>
      <c r="AJ16"/>
      <c r="AK16"/>
      <c r="AL16"/>
      <c r="AM16"/>
      <c r="AN16"/>
      <c r="AO16"/>
      <c r="AP16"/>
      <c r="AQ16"/>
      <c r="AR16"/>
      <c r="AS16"/>
    </row>
    <row r="17" spans="1:90" ht="15.75" customHeight="1" thickBot="1" x14ac:dyDescent="0.35">
      <c r="A17" s="31" t="s">
        <v>13</v>
      </c>
      <c r="B17" s="92">
        <f>('Summary Statistics KPI 0'!B22)</f>
        <v>24971</v>
      </c>
      <c r="C17" s="85">
        <f>('Summary Statistics KPI 0'!C22)</f>
        <v>2043</v>
      </c>
      <c r="D17" s="85">
        <f>('Summary Statistics KPI 0'!E22)</f>
        <v>1857</v>
      </c>
      <c r="E17" s="85">
        <f>('Summary Statistics KPI 0'!G22)</f>
        <v>412</v>
      </c>
      <c r="F17" s="93">
        <f>('Summary Statistics KPI 0'!I22)</f>
        <v>21483</v>
      </c>
      <c r="G17" s="258">
        <v>0.88300000000000001</v>
      </c>
      <c r="H17" s="271">
        <v>0.96599999999999997</v>
      </c>
      <c r="I17" s="206">
        <v>3572</v>
      </c>
      <c r="J17" s="207">
        <v>12943</v>
      </c>
      <c r="K17" s="192">
        <f t="shared" si="5"/>
        <v>0.72262855228630452</v>
      </c>
      <c r="L17" s="211">
        <v>13229</v>
      </c>
      <c r="M17" s="192">
        <f t="shared" si="6"/>
        <v>0.61578922869245445</v>
      </c>
      <c r="N17" s="116">
        <f>(K17-M17)</f>
        <v>0.10683932359385007</v>
      </c>
      <c r="O17" s="211">
        <v>16600</v>
      </c>
      <c r="P17" s="192">
        <f t="shared" si="1"/>
        <v>0.77270399851045013</v>
      </c>
      <c r="Q17" s="211">
        <v>12830</v>
      </c>
      <c r="R17" s="192">
        <f t="shared" si="2"/>
        <v>0.59721640366801654</v>
      </c>
      <c r="S17" s="211">
        <v>18835</v>
      </c>
      <c r="T17" s="192">
        <f t="shared" si="3"/>
        <v>0.87673974770748964</v>
      </c>
      <c r="U17" s="211">
        <v>503</v>
      </c>
      <c r="V17" s="192">
        <f t="shared" si="4"/>
        <v>2.3413862123539544E-2</v>
      </c>
      <c r="W17" s="211">
        <v>17338</v>
      </c>
      <c r="X17" s="211">
        <v>553</v>
      </c>
      <c r="Y17" s="192">
        <f t="shared" si="7"/>
        <v>3.1895258968739189E-2</v>
      </c>
      <c r="Z17" s="206">
        <v>1442</v>
      </c>
      <c r="AA17" s="207">
        <v>45</v>
      </c>
      <c r="AB17" s="116">
        <f t="shared" si="8"/>
        <v>3.1206657420249653E-2</v>
      </c>
      <c r="AC17" s="222">
        <v>18780</v>
      </c>
      <c r="AD17" s="223">
        <v>598</v>
      </c>
      <c r="AE17" s="116">
        <f t="shared" si="9"/>
        <v>3.1842385516506921E-2</v>
      </c>
      <c r="AJ17"/>
      <c r="AK17"/>
      <c r="AL17"/>
      <c r="AM17"/>
      <c r="AN17"/>
      <c r="AO17"/>
      <c r="AP17"/>
      <c r="AQ17"/>
      <c r="AR17"/>
      <c r="AS17"/>
    </row>
    <row r="18" spans="1:90" ht="15.75" customHeight="1" thickBot="1" x14ac:dyDescent="0.35">
      <c r="A18" s="91" t="s">
        <v>21</v>
      </c>
      <c r="B18" s="94">
        <f>('Summary Statistics KPI 0'!B23)</f>
        <v>1520</v>
      </c>
      <c r="C18" s="109">
        <f>('Summary Statistics KPI 0'!C23)</f>
        <v>188</v>
      </c>
      <c r="D18" s="109">
        <f>('Summary Statistics KPI 0'!E23)</f>
        <v>102</v>
      </c>
      <c r="E18" s="109">
        <f>('Summary Statistics KPI 0'!G23)</f>
        <v>37</v>
      </c>
      <c r="F18" s="110">
        <f>('Summary Statistics KPI 0'!I23)</f>
        <v>1267</v>
      </c>
      <c r="G18" s="258">
        <v>0.97299999999999998</v>
      </c>
      <c r="H18" s="272">
        <v>1</v>
      </c>
      <c r="I18" s="208">
        <v>168</v>
      </c>
      <c r="J18" s="209">
        <v>843</v>
      </c>
      <c r="K18" s="194">
        <f t="shared" si="5"/>
        <v>0.76706096451319383</v>
      </c>
      <c r="L18" s="212">
        <v>760</v>
      </c>
      <c r="M18" s="194">
        <f t="shared" si="6"/>
        <v>0.59984214680347281</v>
      </c>
      <c r="N18" s="117">
        <f>(K18-M18)</f>
        <v>0.16721881770972102</v>
      </c>
      <c r="O18" s="212">
        <v>1014</v>
      </c>
      <c r="P18" s="194">
        <f t="shared" si="1"/>
        <v>0.80031570639305449</v>
      </c>
      <c r="Q18" s="212">
        <v>753</v>
      </c>
      <c r="R18" s="194">
        <f t="shared" si="2"/>
        <v>0.59431728492501978</v>
      </c>
      <c r="S18" s="212">
        <v>1136</v>
      </c>
      <c r="T18" s="194">
        <f t="shared" si="3"/>
        <v>0.89660615627466456</v>
      </c>
      <c r="U18" s="212">
        <v>22</v>
      </c>
      <c r="V18" s="194">
        <f t="shared" si="4"/>
        <v>1.7363851617995266E-2</v>
      </c>
      <c r="W18" s="212">
        <v>1019</v>
      </c>
      <c r="X18" s="212">
        <v>22</v>
      </c>
      <c r="Y18" s="194">
        <f t="shared" si="7"/>
        <v>2.1589793915603533E-2</v>
      </c>
      <c r="Z18" s="208">
        <v>83</v>
      </c>
      <c r="AA18" s="209">
        <v>3</v>
      </c>
      <c r="AB18" s="196">
        <f t="shared" si="8"/>
        <v>3.614457831325301E-2</v>
      </c>
      <c r="AC18" s="224">
        <v>1102</v>
      </c>
      <c r="AD18" s="225">
        <v>25</v>
      </c>
      <c r="AE18" s="196">
        <f t="shared" si="9"/>
        <v>2.2686025408348458E-2</v>
      </c>
      <c r="AJ18"/>
      <c r="AK18"/>
      <c r="AL18"/>
      <c r="AM18"/>
      <c r="AN18"/>
      <c r="AO18"/>
      <c r="AP18"/>
      <c r="AQ18"/>
      <c r="AR18"/>
      <c r="AS18"/>
      <c r="CJ18" s="169"/>
      <c r="CK18" s="169"/>
      <c r="CL18" s="169"/>
    </row>
    <row r="19" spans="1:90" s="169" customFormat="1" ht="15.75" customHeight="1" thickBot="1" x14ac:dyDescent="0.3">
      <c r="A19" s="151" t="s">
        <v>60</v>
      </c>
      <c r="B19" s="111">
        <f>('Summary Statistics KPI 0'!B24)</f>
        <v>314887</v>
      </c>
      <c r="C19" s="112">
        <f>('Summary Statistics KPI 0'!C24)</f>
        <v>24587</v>
      </c>
      <c r="D19" s="112">
        <f>('Summary Statistics KPI 0'!E24)</f>
        <v>23850</v>
      </c>
      <c r="E19" s="112">
        <f>('Summary Statistics KPI 0'!G24)</f>
        <v>4337</v>
      </c>
      <c r="F19" s="113">
        <f>('Summary Statistics KPI 0'!I24)</f>
        <v>270787</v>
      </c>
      <c r="G19" s="259">
        <v>0.95099999999999996</v>
      </c>
      <c r="H19" s="273">
        <v>0.99199999999999999</v>
      </c>
      <c r="I19" s="213">
        <f>SUM(I5:I18)</f>
        <v>33189</v>
      </c>
      <c r="J19" s="214">
        <f>SUM(J5:J18)</f>
        <v>182910</v>
      </c>
      <c r="K19" s="152">
        <f t="shared" si="5"/>
        <v>0.76982971237131625</v>
      </c>
      <c r="L19" s="213">
        <f>SUM(L5:L18)</f>
        <v>166578</v>
      </c>
      <c r="M19" s="152">
        <f t="shared" si="6"/>
        <v>0.61516247087193998</v>
      </c>
      <c r="N19" s="167">
        <f>(K19-M19)</f>
        <v>0.15466724149937627</v>
      </c>
      <c r="O19" s="215">
        <f>SUM(O5:O18)</f>
        <v>209216</v>
      </c>
      <c r="P19" s="152">
        <f t="shared" si="1"/>
        <v>0.77262202395240542</v>
      </c>
      <c r="Q19" s="213">
        <f>SUM(Q5:Q18)</f>
        <v>162689</v>
      </c>
      <c r="R19" s="152">
        <f t="shared" si="2"/>
        <v>0.60080062927688549</v>
      </c>
      <c r="S19" s="213">
        <f>SUM(S5:S18)</f>
        <v>235871</v>
      </c>
      <c r="T19" s="152">
        <f t="shared" si="3"/>
        <v>0.87105732549937775</v>
      </c>
      <c r="U19" s="213">
        <f>SUM(U5:U18)</f>
        <v>5191</v>
      </c>
      <c r="V19" s="152">
        <f t="shared" si="4"/>
        <v>1.9170048783730385E-2</v>
      </c>
      <c r="W19" s="213">
        <f>SUM(W5:W18)</f>
        <v>212815</v>
      </c>
      <c r="X19" s="214">
        <f>SUM(X5:X18)</f>
        <v>5648</v>
      </c>
      <c r="Y19" s="152">
        <f t="shared" si="7"/>
        <v>2.6539482649249348E-2</v>
      </c>
      <c r="Z19" s="216">
        <f>SUM(Z5:Z18)</f>
        <v>17022</v>
      </c>
      <c r="AA19" s="217">
        <f>SUM(AA5:AA18)</f>
        <v>255</v>
      </c>
      <c r="AB19" s="152">
        <f>AA19/Z19</f>
        <v>1.4980613323933733E-2</v>
      </c>
      <c r="AC19" s="218">
        <f>SUM(AC5:AC18)</f>
        <v>229837</v>
      </c>
      <c r="AD19" s="219">
        <f>SUM(AD5:AD18)</f>
        <v>4932</v>
      </c>
      <c r="AE19" s="152">
        <f t="shared" si="9"/>
        <v>2.1458685938295401E-2</v>
      </c>
      <c r="AF19" s="168"/>
      <c r="AG19" s="168"/>
      <c r="AH19" s="168"/>
      <c r="AI19" s="168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</row>
    <row r="20" spans="1:90" x14ac:dyDescent="0.25">
      <c r="AJ20"/>
      <c r="AK20"/>
      <c r="AL20"/>
      <c r="AM20"/>
      <c r="AN20"/>
      <c r="AO20"/>
      <c r="AP20"/>
      <c r="AQ20"/>
      <c r="AR20"/>
      <c r="AS20"/>
    </row>
    <row r="21" spans="1:90" x14ac:dyDescent="0.25">
      <c r="L21" s="2"/>
      <c r="AJ21"/>
      <c r="AK21"/>
      <c r="AL21"/>
      <c r="AM21"/>
      <c r="AN21"/>
      <c r="AO21"/>
      <c r="AP21"/>
      <c r="AQ21"/>
      <c r="AR21"/>
      <c r="AS21"/>
    </row>
    <row r="22" spans="1:90" x14ac:dyDescent="0.25">
      <c r="L22" s="2"/>
      <c r="M22" s="58"/>
      <c r="N22" s="58"/>
      <c r="R22" s="58"/>
      <c r="AJ22"/>
      <c r="AK22"/>
      <c r="AL22"/>
      <c r="AM22"/>
      <c r="AN22"/>
      <c r="AO22"/>
      <c r="AP22"/>
      <c r="AQ22"/>
      <c r="AR22"/>
      <c r="AS22"/>
    </row>
    <row r="23" spans="1:90" x14ac:dyDescent="0.25">
      <c r="L23" s="2"/>
      <c r="M23" s="58"/>
      <c r="N23" s="58"/>
      <c r="R23" s="58"/>
      <c r="AJ23"/>
      <c r="AK23"/>
      <c r="AL23"/>
      <c r="AM23"/>
      <c r="AN23"/>
      <c r="AO23"/>
      <c r="AP23"/>
      <c r="AQ23"/>
      <c r="AR23"/>
      <c r="AS23"/>
    </row>
    <row r="24" spans="1:90" x14ac:dyDescent="0.25">
      <c r="J24" s="147"/>
      <c r="L24" s="2"/>
      <c r="M24" s="58"/>
      <c r="N24" s="58"/>
      <c r="R24" s="58"/>
      <c r="AJ24"/>
      <c r="AK24"/>
      <c r="AL24"/>
      <c r="AM24"/>
      <c r="AN24"/>
      <c r="AO24"/>
      <c r="AP24"/>
      <c r="AQ24"/>
      <c r="AR24"/>
      <c r="AS24"/>
    </row>
    <row r="25" spans="1:90" x14ac:dyDescent="0.25">
      <c r="J25" s="2"/>
      <c r="AJ25"/>
      <c r="AK25"/>
      <c r="AL25"/>
      <c r="AM25"/>
      <c r="AN25"/>
      <c r="AO25"/>
      <c r="AP25"/>
      <c r="AQ25"/>
      <c r="AR25"/>
      <c r="AS25"/>
    </row>
    <row r="26" spans="1:90" x14ac:dyDescent="0.25">
      <c r="AJ26"/>
      <c r="AK26"/>
      <c r="AL26"/>
      <c r="AM26"/>
      <c r="AN26"/>
      <c r="AO26"/>
      <c r="AP26"/>
      <c r="AQ26"/>
      <c r="AR26"/>
      <c r="AS26"/>
    </row>
    <row r="27" spans="1:90" x14ac:dyDescent="0.25">
      <c r="J27" s="2"/>
      <c r="K27"/>
      <c r="AJ27"/>
      <c r="AK27"/>
      <c r="AL27"/>
      <c r="AM27"/>
      <c r="AN27"/>
      <c r="AO27"/>
      <c r="AP27"/>
      <c r="AQ27"/>
      <c r="AR27"/>
      <c r="AS27"/>
    </row>
    <row r="28" spans="1:90" x14ac:dyDescent="0.25">
      <c r="J28" s="2"/>
      <c r="K28"/>
      <c r="AJ28"/>
      <c r="AK28"/>
      <c r="AL28"/>
      <c r="AM28"/>
      <c r="AN28"/>
      <c r="AO28"/>
      <c r="AP28"/>
      <c r="AQ28"/>
      <c r="AR28"/>
      <c r="AS28"/>
    </row>
    <row r="29" spans="1:90" x14ac:dyDescent="0.25">
      <c r="AJ29"/>
      <c r="AK29"/>
      <c r="AL29"/>
      <c r="AM29"/>
      <c r="AN29"/>
      <c r="AO29"/>
      <c r="AP29"/>
      <c r="AQ29"/>
      <c r="AR29"/>
      <c r="AS29"/>
    </row>
  </sheetData>
  <mergeCells count="31">
    <mergeCell ref="Z1:AB1"/>
    <mergeCell ref="AC1:AE1"/>
    <mergeCell ref="W3:Y3"/>
    <mergeCell ref="S1:T1"/>
    <mergeCell ref="U1:V1"/>
    <mergeCell ref="W1:Y1"/>
    <mergeCell ref="S3:T3"/>
    <mergeCell ref="U3:V3"/>
    <mergeCell ref="Z3:AB3"/>
    <mergeCell ref="AC3:AE3"/>
    <mergeCell ref="S2:T2"/>
    <mergeCell ref="U2:V2"/>
    <mergeCell ref="W2:Y2"/>
    <mergeCell ref="Z2:AB2"/>
    <mergeCell ref="AC2:AE2"/>
    <mergeCell ref="Q1:R1"/>
    <mergeCell ref="I1:K1"/>
    <mergeCell ref="L1:M1"/>
    <mergeCell ref="E3:F3"/>
    <mergeCell ref="I3:K3"/>
    <mergeCell ref="B1:F1"/>
    <mergeCell ref="O1:P1"/>
    <mergeCell ref="O3:P3"/>
    <mergeCell ref="L3:M3"/>
    <mergeCell ref="Q3:R3"/>
    <mergeCell ref="B2:F2"/>
    <mergeCell ref="I2:K2"/>
    <mergeCell ref="L2:M2"/>
    <mergeCell ref="O2:P2"/>
    <mergeCell ref="Q2:R2"/>
    <mergeCell ref="G1:H1"/>
  </mergeCells>
  <phoneticPr fontId="2" type="noConversion"/>
  <pageMargins left="0.23622047244094491" right="0.19685039370078741" top="1.299212598425197" bottom="0.98425196850393704" header="0.51181102362204722" footer="0.51181102362204722"/>
  <pageSetup paperSize="9" scale="51" orientation="landscape" r:id="rId1"/>
  <headerFooter alignWithMargins="0">
    <oddHeader>&amp;CDiabetic Retinopathy Screening - &amp;A</oddHeader>
    <oddFooter>&amp;C&amp;Z&amp;F</oddFooter>
  </headerFooter>
  <ignoredErrors>
    <ignoredError sqref="K19 P19 R19 T19 V19 Y19 AB19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21"/>
  <sheetViews>
    <sheetView workbookViewId="0">
      <selection activeCell="X18" sqref="X18"/>
    </sheetView>
  </sheetViews>
  <sheetFormatPr defaultRowHeight="12.5" x14ac:dyDescent="0.25"/>
  <cols>
    <col min="1" max="1" width="25.81640625" customWidth="1"/>
    <col min="2" max="2" width="10.1796875" hidden="1" customWidth="1"/>
    <col min="3" max="3" width="10.54296875" hidden="1" customWidth="1"/>
    <col min="4" max="4" width="11.54296875" hidden="1" customWidth="1"/>
    <col min="5" max="6" width="9.1796875" hidden="1" customWidth="1"/>
    <col min="7" max="7" width="9.453125" customWidth="1"/>
    <col min="8" max="9" width="9.453125" hidden="1" customWidth="1"/>
    <col min="10" max="10" width="9.453125" style="2" hidden="1" customWidth="1"/>
    <col min="11" max="12" width="9.453125" hidden="1" customWidth="1"/>
    <col min="13" max="13" width="9.453125" style="2" hidden="1" customWidth="1"/>
    <col min="14" max="15" width="9.453125" hidden="1" customWidth="1"/>
    <col min="16" max="16" width="9.453125" style="2" hidden="1" customWidth="1"/>
    <col min="17" max="20" width="9.453125" customWidth="1"/>
    <col min="21" max="21" width="9.453125" style="2" customWidth="1"/>
    <col min="22" max="42" width="9.1796875" style="9"/>
  </cols>
  <sheetData>
    <row r="1" spans="1:42" ht="39" customHeight="1" thickBot="1" x14ac:dyDescent="0.3">
      <c r="B1" s="3" t="s">
        <v>0</v>
      </c>
      <c r="C1" s="4"/>
      <c r="D1" s="4"/>
      <c r="E1" s="4"/>
      <c r="F1" s="4"/>
      <c r="G1" s="27"/>
      <c r="H1" s="311" t="s">
        <v>32</v>
      </c>
      <c r="I1" s="312"/>
      <c r="J1" s="313"/>
      <c r="K1" s="296" t="s">
        <v>43</v>
      </c>
      <c r="L1" s="281"/>
      <c r="M1" s="282"/>
      <c r="N1" s="296" t="s">
        <v>36</v>
      </c>
      <c r="O1" s="281"/>
      <c r="P1" s="282"/>
      <c r="Q1" s="296" t="s">
        <v>44</v>
      </c>
      <c r="R1" s="281"/>
      <c r="S1" s="282"/>
      <c r="T1" s="296" t="s">
        <v>42</v>
      </c>
      <c r="U1" s="282"/>
    </row>
    <row r="2" spans="1:42" ht="39" customHeight="1" thickBot="1" x14ac:dyDescent="0.3">
      <c r="A2" s="317" t="s">
        <v>103</v>
      </c>
      <c r="B2" s="317"/>
      <c r="C2" s="317"/>
      <c r="D2" s="317"/>
      <c r="E2" s="317"/>
      <c r="F2" s="317"/>
      <c r="G2" s="317"/>
      <c r="H2" s="62"/>
      <c r="I2" s="62"/>
      <c r="J2" s="199"/>
      <c r="K2" s="201"/>
      <c r="L2" s="200"/>
      <c r="M2" s="201"/>
      <c r="N2" s="201"/>
      <c r="O2" s="200"/>
      <c r="P2" s="199"/>
      <c r="Q2" s="314" t="s">
        <v>109</v>
      </c>
      <c r="R2" s="315"/>
      <c r="S2" s="315"/>
      <c r="T2" s="315"/>
      <c r="U2" s="316"/>
      <c r="AP2"/>
    </row>
    <row r="3" spans="1:42" s="23" customFormat="1" ht="76.650000000000006" customHeight="1" thickBot="1" x14ac:dyDescent="0.35">
      <c r="A3" s="318" t="s">
        <v>110</v>
      </c>
      <c r="B3" s="319"/>
      <c r="C3" s="319"/>
      <c r="D3" s="319"/>
      <c r="E3" s="319"/>
      <c r="F3" s="319"/>
      <c r="G3" s="320"/>
      <c r="H3" s="324" t="s">
        <v>89</v>
      </c>
      <c r="I3" s="325"/>
      <c r="J3" s="325"/>
      <c r="K3" s="28"/>
      <c r="L3" s="29"/>
      <c r="M3" s="30"/>
      <c r="N3" s="29"/>
      <c r="O3" s="29"/>
      <c r="P3" s="30"/>
      <c r="Q3" s="321" t="s">
        <v>111</v>
      </c>
      <c r="R3" s="322"/>
      <c r="S3" s="322"/>
      <c r="T3" s="322"/>
      <c r="U3" s="323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</row>
    <row r="4" spans="1:42" s="37" customFormat="1" ht="132.75" customHeight="1" thickBot="1" x14ac:dyDescent="0.3">
      <c r="A4" s="125" t="s">
        <v>18</v>
      </c>
      <c r="B4" s="50" t="s">
        <v>1</v>
      </c>
      <c r="C4" s="126" t="s">
        <v>14</v>
      </c>
      <c r="D4" s="126" t="s">
        <v>19</v>
      </c>
      <c r="E4" s="126" t="s">
        <v>15</v>
      </c>
      <c r="F4" s="127" t="s">
        <v>16</v>
      </c>
      <c r="G4" s="34" t="s">
        <v>41</v>
      </c>
      <c r="H4" s="34" t="s">
        <v>33</v>
      </c>
      <c r="I4" s="35" t="s">
        <v>58</v>
      </c>
      <c r="J4" s="33" t="s">
        <v>67</v>
      </c>
      <c r="K4" s="34" t="s">
        <v>34</v>
      </c>
      <c r="L4" s="35" t="s">
        <v>35</v>
      </c>
      <c r="M4" s="33" t="s">
        <v>68</v>
      </c>
      <c r="N4" s="34" t="s">
        <v>37</v>
      </c>
      <c r="O4" s="35" t="s">
        <v>82</v>
      </c>
      <c r="P4" s="33" t="s">
        <v>69</v>
      </c>
      <c r="Q4" s="34" t="s">
        <v>38</v>
      </c>
      <c r="R4" s="35" t="s">
        <v>39</v>
      </c>
      <c r="S4" s="98" t="s">
        <v>40</v>
      </c>
      <c r="T4" s="34" t="s">
        <v>81</v>
      </c>
      <c r="U4" s="33" t="s">
        <v>70</v>
      </c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</row>
    <row r="5" spans="1:42" ht="15.75" customHeight="1" x14ac:dyDescent="0.3">
      <c r="A5" s="128" t="s">
        <v>20</v>
      </c>
      <c r="B5" s="129">
        <v>20730</v>
      </c>
      <c r="C5" s="130">
        <v>1531</v>
      </c>
      <c r="D5" s="130">
        <v>1400</v>
      </c>
      <c r="E5" s="130">
        <v>11</v>
      </c>
      <c r="F5" s="131">
        <v>17810</v>
      </c>
      <c r="G5" s="226">
        <v>13967</v>
      </c>
      <c r="H5" s="227">
        <v>13384</v>
      </c>
      <c r="I5" s="227">
        <v>641</v>
      </c>
      <c r="J5" s="123">
        <f>I5/H5</f>
        <v>4.789300657501494E-2</v>
      </c>
      <c r="K5" s="227">
        <v>2313</v>
      </c>
      <c r="L5" s="227">
        <v>91</v>
      </c>
      <c r="M5" s="123">
        <f>L5/K5</f>
        <v>3.9342844790315606E-2</v>
      </c>
      <c r="N5" s="227">
        <v>15697</v>
      </c>
      <c r="O5" s="227">
        <v>732</v>
      </c>
      <c r="P5" s="123">
        <f t="shared" ref="P5:P18" si="0">O5/N5</f>
        <v>4.6633114607886855E-2</v>
      </c>
      <c r="Q5" s="226">
        <v>92</v>
      </c>
      <c r="R5" s="226">
        <v>2</v>
      </c>
      <c r="S5" s="226">
        <v>1</v>
      </c>
      <c r="T5" s="228">
        <v>13870</v>
      </c>
      <c r="U5" s="191">
        <f>T5/G5</f>
        <v>0.99305505835182928</v>
      </c>
    </row>
    <row r="6" spans="1:42" ht="15.75" customHeight="1" x14ac:dyDescent="0.3">
      <c r="A6" s="31" t="s">
        <v>2</v>
      </c>
      <c r="B6" s="5">
        <v>6405</v>
      </c>
      <c r="C6" s="6">
        <v>787</v>
      </c>
      <c r="D6" s="6">
        <v>1054</v>
      </c>
      <c r="E6" s="6">
        <v>59</v>
      </c>
      <c r="F6" s="7">
        <v>4623</v>
      </c>
      <c r="G6" s="229">
        <v>4027</v>
      </c>
      <c r="H6" s="230">
        <v>3230</v>
      </c>
      <c r="I6" s="230">
        <v>119</v>
      </c>
      <c r="J6" s="116">
        <f t="shared" ref="J6:J19" si="1">I6/H6</f>
        <v>3.6842105263157891E-2</v>
      </c>
      <c r="K6" s="230">
        <v>288</v>
      </c>
      <c r="L6" s="230">
        <v>0</v>
      </c>
      <c r="M6" s="116">
        <f t="shared" ref="M6:M19" si="2">L6/K6</f>
        <v>0</v>
      </c>
      <c r="N6" s="230">
        <v>3518</v>
      </c>
      <c r="O6" s="230">
        <v>119</v>
      </c>
      <c r="P6" s="116">
        <f t="shared" si="0"/>
        <v>3.3826037521318929E-2</v>
      </c>
      <c r="Q6" s="229">
        <v>106</v>
      </c>
      <c r="R6" s="229">
        <v>3</v>
      </c>
      <c r="S6" s="229">
        <v>2</v>
      </c>
      <c r="T6" s="231">
        <v>3986</v>
      </c>
      <c r="U6" s="192">
        <f t="shared" ref="U6:U19" si="3">T6/G6</f>
        <v>0.98981872361559475</v>
      </c>
    </row>
    <row r="7" spans="1:42" ht="15.75" customHeight="1" x14ac:dyDescent="0.3">
      <c r="A7" s="32" t="s">
        <v>3</v>
      </c>
      <c r="B7" s="5">
        <v>8329</v>
      </c>
      <c r="C7" s="6">
        <v>849</v>
      </c>
      <c r="D7" s="6">
        <v>465</v>
      </c>
      <c r="E7" s="6">
        <v>146</v>
      </c>
      <c r="F7" s="7">
        <v>7161</v>
      </c>
      <c r="G7" s="229">
        <v>6677</v>
      </c>
      <c r="H7" s="230">
        <v>6692</v>
      </c>
      <c r="I7" s="230">
        <v>86</v>
      </c>
      <c r="J7" s="116">
        <f t="shared" si="1"/>
        <v>1.2851165570830842E-2</v>
      </c>
      <c r="K7" s="230">
        <v>97</v>
      </c>
      <c r="L7" s="230">
        <v>10</v>
      </c>
      <c r="M7" s="116">
        <f t="shared" si="2"/>
        <v>0.10309278350515463</v>
      </c>
      <c r="N7" s="230">
        <v>6789</v>
      </c>
      <c r="O7" s="230">
        <v>96</v>
      </c>
      <c r="P7" s="116">
        <f t="shared" si="0"/>
        <v>1.4140521431727796E-2</v>
      </c>
      <c r="Q7" s="229">
        <v>17</v>
      </c>
      <c r="R7" s="229">
        <v>1</v>
      </c>
      <c r="S7" s="229">
        <v>1</v>
      </c>
      <c r="T7" s="231">
        <v>6619</v>
      </c>
      <c r="U7" s="192">
        <f t="shared" si="3"/>
        <v>0.99131346413059762</v>
      </c>
    </row>
    <row r="8" spans="1:42" ht="15.75" customHeight="1" x14ac:dyDescent="0.3">
      <c r="A8" s="31" t="s">
        <v>4</v>
      </c>
      <c r="B8" s="5">
        <v>18157</v>
      </c>
      <c r="C8" s="6">
        <v>2176</v>
      </c>
      <c r="D8" s="6">
        <v>514</v>
      </c>
      <c r="E8" s="6">
        <v>446</v>
      </c>
      <c r="F8" s="7">
        <v>15913</v>
      </c>
      <c r="G8" s="229">
        <v>12607</v>
      </c>
      <c r="H8" s="230">
        <v>11234</v>
      </c>
      <c r="I8" s="230">
        <v>460</v>
      </c>
      <c r="J8" s="116">
        <f t="shared" si="1"/>
        <v>4.094712479971515E-2</v>
      </c>
      <c r="K8" s="230">
        <v>1748</v>
      </c>
      <c r="L8" s="230">
        <v>41</v>
      </c>
      <c r="M8" s="116">
        <f t="shared" si="2"/>
        <v>2.345537757437071E-2</v>
      </c>
      <c r="N8" s="230">
        <v>12982</v>
      </c>
      <c r="O8" s="230">
        <v>501</v>
      </c>
      <c r="P8" s="116">
        <f t="shared" si="0"/>
        <v>3.8591896472038208E-2</v>
      </c>
      <c r="Q8" s="229">
        <v>171</v>
      </c>
      <c r="R8" s="229">
        <v>5</v>
      </c>
      <c r="S8" s="229">
        <v>4</v>
      </c>
      <c r="T8" s="231">
        <v>12261</v>
      </c>
      <c r="U8" s="192">
        <f t="shared" si="3"/>
        <v>0.9725549298009043</v>
      </c>
    </row>
    <row r="9" spans="1:42" ht="15.75" customHeight="1" x14ac:dyDescent="0.3">
      <c r="A9" s="31" t="s">
        <v>5</v>
      </c>
      <c r="B9" s="5">
        <v>14036</v>
      </c>
      <c r="C9" s="6">
        <v>1064</v>
      </c>
      <c r="D9" s="6">
        <v>321</v>
      </c>
      <c r="E9" s="6">
        <v>252</v>
      </c>
      <c r="F9" s="7">
        <v>12903</v>
      </c>
      <c r="G9" s="229">
        <v>10096</v>
      </c>
      <c r="H9" s="230">
        <v>9386</v>
      </c>
      <c r="I9" s="230">
        <v>363</v>
      </c>
      <c r="J9" s="116">
        <f t="shared" si="1"/>
        <v>3.8674621777114851E-2</v>
      </c>
      <c r="K9" s="230">
        <v>1643</v>
      </c>
      <c r="L9" s="230">
        <v>36</v>
      </c>
      <c r="M9" s="116">
        <f t="shared" si="2"/>
        <v>2.1911138161898967E-2</v>
      </c>
      <c r="N9" s="230">
        <v>11029</v>
      </c>
      <c r="O9" s="230">
        <v>399</v>
      </c>
      <c r="P9" s="116">
        <f t="shared" si="0"/>
        <v>3.6177350621089857E-2</v>
      </c>
      <c r="Q9" s="229">
        <v>159</v>
      </c>
      <c r="R9" s="229">
        <v>5</v>
      </c>
      <c r="S9" s="229">
        <v>3</v>
      </c>
      <c r="T9" s="231">
        <v>9720</v>
      </c>
      <c r="U9" s="192">
        <f t="shared" si="3"/>
        <v>0.96275752773375589</v>
      </c>
    </row>
    <row r="10" spans="1:42" s="11" customFormat="1" ht="15.75" customHeight="1" x14ac:dyDescent="0.3">
      <c r="A10" s="65" t="s">
        <v>6</v>
      </c>
      <c r="B10" s="67">
        <v>25009</v>
      </c>
      <c r="C10" s="6">
        <v>1379</v>
      </c>
      <c r="D10" s="6">
        <v>1662</v>
      </c>
      <c r="E10" s="6">
        <v>189</v>
      </c>
      <c r="F10" s="7">
        <v>22157</v>
      </c>
      <c r="G10" s="229">
        <v>17703</v>
      </c>
      <c r="H10" s="230">
        <v>17281</v>
      </c>
      <c r="I10" s="230">
        <v>541</v>
      </c>
      <c r="J10" s="232">
        <f t="shared" si="1"/>
        <v>3.1306058677159888E-2</v>
      </c>
      <c r="K10" s="230">
        <v>894</v>
      </c>
      <c r="L10" s="230">
        <v>28</v>
      </c>
      <c r="M10" s="232">
        <f t="shared" si="2"/>
        <v>3.1319910514541388E-2</v>
      </c>
      <c r="N10" s="230">
        <v>18175</v>
      </c>
      <c r="O10" s="230">
        <v>569</v>
      </c>
      <c r="P10" s="232">
        <f t="shared" si="0"/>
        <v>3.1306740027510313E-2</v>
      </c>
      <c r="Q10" s="229">
        <v>131</v>
      </c>
      <c r="R10" s="229">
        <v>8</v>
      </c>
      <c r="S10" s="229">
        <v>8</v>
      </c>
      <c r="T10" s="231">
        <v>17346</v>
      </c>
      <c r="U10" s="193">
        <f t="shared" si="3"/>
        <v>0.97983392645314349</v>
      </c>
      <c r="V10" s="9"/>
      <c r="W10" s="9"/>
      <c r="X10" s="9"/>
      <c r="Y10" s="9"/>
      <c r="Z10" s="5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</row>
    <row r="11" spans="1:42" ht="15.75" customHeight="1" x14ac:dyDescent="0.3">
      <c r="A11" s="31" t="s">
        <v>7</v>
      </c>
      <c r="B11" s="5">
        <v>56749</v>
      </c>
      <c r="C11" s="6">
        <v>5856</v>
      </c>
      <c r="D11" s="6">
        <v>1744</v>
      </c>
      <c r="E11" s="6">
        <v>1611</v>
      </c>
      <c r="F11" s="7">
        <v>50760</v>
      </c>
      <c r="G11" s="229">
        <v>37136</v>
      </c>
      <c r="H11" s="230">
        <v>36982</v>
      </c>
      <c r="I11" s="230">
        <v>958</v>
      </c>
      <c r="J11" s="116">
        <f t="shared" si="1"/>
        <v>2.5904494078200207E-2</v>
      </c>
      <c r="K11" s="230">
        <v>2764</v>
      </c>
      <c r="L11" s="230">
        <v>10</v>
      </c>
      <c r="M11" s="116">
        <f t="shared" si="2"/>
        <v>3.6179450072358899E-3</v>
      </c>
      <c r="N11" s="230">
        <v>39746</v>
      </c>
      <c r="O11" s="230">
        <v>968</v>
      </c>
      <c r="P11" s="116">
        <f t="shared" si="0"/>
        <v>2.4354652040456903E-2</v>
      </c>
      <c r="Q11" s="229">
        <v>92</v>
      </c>
      <c r="R11" s="229">
        <v>5</v>
      </c>
      <c r="S11" s="229">
        <v>3</v>
      </c>
      <c r="T11" s="231">
        <v>34980</v>
      </c>
      <c r="U11" s="192">
        <f t="shared" si="3"/>
        <v>0.94194312796208535</v>
      </c>
      <c r="X11" s="59"/>
      <c r="Z11" s="59"/>
    </row>
    <row r="12" spans="1:42" ht="15.75" customHeight="1" x14ac:dyDescent="0.3">
      <c r="A12" s="31" t="s">
        <v>8</v>
      </c>
      <c r="B12" s="5">
        <v>14651</v>
      </c>
      <c r="C12" s="6">
        <v>1614</v>
      </c>
      <c r="D12" s="6">
        <v>608</v>
      </c>
      <c r="E12" s="6">
        <v>129</v>
      </c>
      <c r="F12" s="7">
        <v>12558</v>
      </c>
      <c r="G12" s="229">
        <v>10421</v>
      </c>
      <c r="H12" s="230">
        <v>8786</v>
      </c>
      <c r="I12" s="230">
        <v>484</v>
      </c>
      <c r="J12" s="116">
        <f t="shared" si="1"/>
        <v>5.5087639426360122E-2</v>
      </c>
      <c r="K12" s="230">
        <v>639</v>
      </c>
      <c r="L12" s="230">
        <v>36</v>
      </c>
      <c r="M12" s="116">
        <f t="shared" si="2"/>
        <v>5.6338028169014086E-2</v>
      </c>
      <c r="N12" s="230">
        <v>9425</v>
      </c>
      <c r="O12" s="230">
        <v>520</v>
      </c>
      <c r="P12" s="116">
        <f t="shared" si="0"/>
        <v>5.5172413793103448E-2</v>
      </c>
      <c r="Q12" s="229">
        <v>57</v>
      </c>
      <c r="R12" s="229">
        <v>8</v>
      </c>
      <c r="S12" s="229">
        <v>7</v>
      </c>
      <c r="T12" s="231">
        <v>10199</v>
      </c>
      <c r="U12" s="192">
        <f t="shared" si="3"/>
        <v>0.97869686210536422</v>
      </c>
    </row>
    <row r="13" spans="1:42" ht="15.75" customHeight="1" x14ac:dyDescent="0.3">
      <c r="A13" s="31" t="s">
        <v>9</v>
      </c>
      <c r="B13" s="5">
        <v>28536</v>
      </c>
      <c r="C13" s="6">
        <v>2320</v>
      </c>
      <c r="D13" s="6">
        <v>1113</v>
      </c>
      <c r="E13" s="6">
        <v>653</v>
      </c>
      <c r="F13" s="7">
        <v>25756</v>
      </c>
      <c r="G13" s="229">
        <v>22575</v>
      </c>
      <c r="H13" s="230">
        <v>18199</v>
      </c>
      <c r="I13" s="230">
        <v>760</v>
      </c>
      <c r="J13" s="116">
        <f t="shared" si="1"/>
        <v>4.1760536293202921E-2</v>
      </c>
      <c r="K13" s="230">
        <v>1371</v>
      </c>
      <c r="L13" s="230">
        <v>79</v>
      </c>
      <c r="M13" s="116">
        <f t="shared" si="2"/>
        <v>5.7622173595915392E-2</v>
      </c>
      <c r="N13" s="230">
        <v>19570</v>
      </c>
      <c r="O13" s="230">
        <v>839</v>
      </c>
      <c r="P13" s="116">
        <f t="shared" si="0"/>
        <v>4.2871742462953499E-2</v>
      </c>
      <c r="Q13" s="229">
        <v>59</v>
      </c>
      <c r="R13" s="229">
        <v>4</v>
      </c>
      <c r="S13" s="229">
        <v>2</v>
      </c>
      <c r="T13" s="231">
        <v>21927</v>
      </c>
      <c r="U13" s="192">
        <f t="shared" si="3"/>
        <v>0.97129568106312292</v>
      </c>
    </row>
    <row r="14" spans="1:42" ht="15.75" customHeight="1" x14ac:dyDescent="0.3">
      <c r="A14" s="31" t="s">
        <v>10</v>
      </c>
      <c r="B14" s="5">
        <v>36403</v>
      </c>
      <c r="C14" s="6">
        <v>3630</v>
      </c>
      <c r="D14" s="6">
        <v>3398</v>
      </c>
      <c r="E14" s="6">
        <v>483</v>
      </c>
      <c r="F14" s="7">
        <v>29858</v>
      </c>
      <c r="G14" s="229">
        <v>24090</v>
      </c>
      <c r="H14" s="230">
        <v>22301</v>
      </c>
      <c r="I14" s="230">
        <v>807</v>
      </c>
      <c r="J14" s="116">
        <f t="shared" si="1"/>
        <v>3.6186718084390834E-2</v>
      </c>
      <c r="K14" s="230">
        <v>3912</v>
      </c>
      <c r="L14" s="230">
        <v>74</v>
      </c>
      <c r="M14" s="116">
        <f t="shared" si="2"/>
        <v>1.8916155419222903E-2</v>
      </c>
      <c r="N14" s="230">
        <v>26213</v>
      </c>
      <c r="O14" s="230">
        <v>881</v>
      </c>
      <c r="P14" s="116">
        <f t="shared" si="0"/>
        <v>3.3609277839240073E-2</v>
      </c>
      <c r="Q14" s="229">
        <v>24</v>
      </c>
      <c r="R14" s="229">
        <v>3</v>
      </c>
      <c r="S14" s="229">
        <v>2</v>
      </c>
      <c r="T14" s="231">
        <v>24061</v>
      </c>
      <c r="U14" s="192">
        <f t="shared" si="3"/>
        <v>0.99879618098796186</v>
      </c>
    </row>
    <row r="15" spans="1:42" ht="15.75" customHeight="1" x14ac:dyDescent="0.3">
      <c r="A15" s="31" t="s">
        <v>11</v>
      </c>
      <c r="B15" s="5">
        <v>972</v>
      </c>
      <c r="C15" s="6">
        <v>172</v>
      </c>
      <c r="D15" s="6">
        <v>49</v>
      </c>
      <c r="E15" s="6">
        <v>12</v>
      </c>
      <c r="F15" s="7">
        <v>763</v>
      </c>
      <c r="G15" s="229">
        <v>802</v>
      </c>
      <c r="H15" s="230">
        <v>677</v>
      </c>
      <c r="I15" s="230">
        <v>42</v>
      </c>
      <c r="J15" s="116">
        <f t="shared" si="1"/>
        <v>6.2038404726735601E-2</v>
      </c>
      <c r="K15" s="230">
        <v>1</v>
      </c>
      <c r="L15" s="230">
        <v>0</v>
      </c>
      <c r="M15" s="116">
        <f t="shared" si="2"/>
        <v>0</v>
      </c>
      <c r="N15" s="230">
        <v>678</v>
      </c>
      <c r="O15" s="230">
        <v>42</v>
      </c>
      <c r="P15" s="116">
        <f t="shared" si="0"/>
        <v>6.1946902654867256E-2</v>
      </c>
      <c r="Q15" s="229">
        <v>33</v>
      </c>
      <c r="R15" s="229">
        <v>6</v>
      </c>
      <c r="S15" s="229">
        <v>5</v>
      </c>
      <c r="T15" s="231">
        <v>758</v>
      </c>
      <c r="U15" s="192">
        <f t="shared" si="3"/>
        <v>0.9451371571072319</v>
      </c>
    </row>
    <row r="16" spans="1:42" ht="15.75" customHeight="1" x14ac:dyDescent="0.3">
      <c r="A16" s="31" t="s">
        <v>12</v>
      </c>
      <c r="B16" s="5">
        <v>989</v>
      </c>
      <c r="C16" s="6">
        <v>91</v>
      </c>
      <c r="D16" s="6">
        <v>41</v>
      </c>
      <c r="E16" s="6">
        <v>36</v>
      </c>
      <c r="F16" s="7">
        <v>893</v>
      </c>
      <c r="G16" s="229">
        <v>696</v>
      </c>
      <c r="H16" s="230">
        <v>794</v>
      </c>
      <c r="I16" s="230">
        <v>29</v>
      </c>
      <c r="J16" s="116">
        <f t="shared" si="1"/>
        <v>3.6523929471032744E-2</v>
      </c>
      <c r="K16" s="230">
        <v>62</v>
      </c>
      <c r="L16" s="230">
        <v>0</v>
      </c>
      <c r="M16" s="116">
        <f t="shared" si="2"/>
        <v>0</v>
      </c>
      <c r="N16" s="230">
        <v>856</v>
      </c>
      <c r="O16" s="230">
        <v>29</v>
      </c>
      <c r="P16" s="116">
        <f t="shared" si="0"/>
        <v>3.3878504672897193E-2</v>
      </c>
      <c r="Q16" s="229">
        <v>180</v>
      </c>
      <c r="R16" s="229">
        <v>10</v>
      </c>
      <c r="S16" s="229">
        <v>7</v>
      </c>
      <c r="T16" s="231">
        <v>640</v>
      </c>
      <c r="U16" s="192">
        <f t="shared" si="3"/>
        <v>0.91954022988505746</v>
      </c>
    </row>
    <row r="17" spans="1:42" ht="15.75" customHeight="1" x14ac:dyDescent="0.3">
      <c r="A17" s="31" t="s">
        <v>13</v>
      </c>
      <c r="B17" s="5">
        <v>20332</v>
      </c>
      <c r="C17" s="6">
        <v>3193</v>
      </c>
      <c r="D17" s="6">
        <v>962</v>
      </c>
      <c r="E17" s="6">
        <v>186</v>
      </c>
      <c r="F17" s="7">
        <v>16363</v>
      </c>
      <c r="G17" s="229">
        <v>14302</v>
      </c>
      <c r="H17" s="230">
        <v>12434</v>
      </c>
      <c r="I17" s="230">
        <v>610</v>
      </c>
      <c r="J17" s="116">
        <f t="shared" si="1"/>
        <v>4.905903168730899E-2</v>
      </c>
      <c r="K17" s="230">
        <v>1274</v>
      </c>
      <c r="L17" s="230">
        <v>31</v>
      </c>
      <c r="M17" s="116">
        <f t="shared" si="2"/>
        <v>2.4332810047095761E-2</v>
      </c>
      <c r="N17" s="230">
        <v>13708</v>
      </c>
      <c r="O17" s="230">
        <v>641</v>
      </c>
      <c r="P17" s="116">
        <f t="shared" si="0"/>
        <v>4.6761015465421649E-2</v>
      </c>
      <c r="Q17" s="229">
        <v>171</v>
      </c>
      <c r="R17" s="229">
        <v>7</v>
      </c>
      <c r="S17" s="229">
        <v>5</v>
      </c>
      <c r="T17" s="231">
        <v>13595</v>
      </c>
      <c r="U17" s="192">
        <f t="shared" si="3"/>
        <v>0.95056635435603409</v>
      </c>
    </row>
    <row r="18" spans="1:42" ht="15.75" customHeight="1" thickBot="1" x14ac:dyDescent="0.35">
      <c r="A18" s="91" t="s">
        <v>21</v>
      </c>
      <c r="B18" s="95">
        <v>1236</v>
      </c>
      <c r="C18" s="96">
        <v>134</v>
      </c>
      <c r="D18" s="96">
        <v>54</v>
      </c>
      <c r="E18" s="96">
        <v>16</v>
      </c>
      <c r="F18" s="97">
        <v>1064</v>
      </c>
      <c r="G18" s="233">
        <v>811</v>
      </c>
      <c r="H18" s="234">
        <v>834</v>
      </c>
      <c r="I18" s="234">
        <v>73</v>
      </c>
      <c r="J18" s="196">
        <f t="shared" si="1"/>
        <v>8.7529976019184649E-2</v>
      </c>
      <c r="K18" s="234">
        <v>131</v>
      </c>
      <c r="L18" s="234">
        <v>1</v>
      </c>
      <c r="M18" s="196">
        <f t="shared" si="2"/>
        <v>7.6335877862595417E-3</v>
      </c>
      <c r="N18" s="234">
        <v>965</v>
      </c>
      <c r="O18" s="234">
        <v>74</v>
      </c>
      <c r="P18" s="196">
        <f t="shared" si="0"/>
        <v>7.6683937823834203E-2</v>
      </c>
      <c r="Q18" s="233">
        <v>23</v>
      </c>
      <c r="R18" s="233">
        <v>5</v>
      </c>
      <c r="S18" s="233">
        <v>4</v>
      </c>
      <c r="T18" s="235">
        <v>810</v>
      </c>
      <c r="U18" s="194">
        <f t="shared" si="3"/>
        <v>0.998766954377312</v>
      </c>
    </row>
    <row r="19" spans="1:42" s="238" customFormat="1" ht="15.75" customHeight="1" thickBot="1" x14ac:dyDescent="0.3">
      <c r="A19" s="132" t="s">
        <v>60</v>
      </c>
      <c r="B19" s="133">
        <v>252534</v>
      </c>
      <c r="C19" s="133">
        <v>24796</v>
      </c>
      <c r="D19" s="133">
        <v>13385</v>
      </c>
      <c r="E19" s="133">
        <v>4229</v>
      </c>
      <c r="F19" s="149">
        <v>218582</v>
      </c>
      <c r="G19" s="236">
        <f>SUM(G5:G18)</f>
        <v>175910</v>
      </c>
      <c r="H19" s="153">
        <f>SUM(H5:H18)</f>
        <v>162214</v>
      </c>
      <c r="I19" s="153">
        <f>SUM(I5:I18)</f>
        <v>5973</v>
      </c>
      <c r="J19" s="154">
        <f t="shared" si="1"/>
        <v>3.6821729320527206E-2</v>
      </c>
      <c r="K19" s="153">
        <f>SUM(K5:K18)</f>
        <v>17137</v>
      </c>
      <c r="L19" s="153">
        <f>SUM(L5:L18)</f>
        <v>437</v>
      </c>
      <c r="M19" s="154">
        <f t="shared" si="2"/>
        <v>2.5500379296259555E-2</v>
      </c>
      <c r="N19" s="153">
        <f>SUM(N5:N18)</f>
        <v>179351</v>
      </c>
      <c r="O19" s="153">
        <f>SUM(O5:O18)</f>
        <v>6410</v>
      </c>
      <c r="P19" s="154">
        <f>O19/N19</f>
        <v>3.5739973571376794E-2</v>
      </c>
      <c r="Q19" s="213">
        <f>MAX(Q5:Q18)</f>
        <v>180</v>
      </c>
      <c r="R19" s="237">
        <f>AVERAGE(R5:R18)</f>
        <v>5.1428571428571432</v>
      </c>
      <c r="S19" s="237">
        <f>MEDIAN(S5:S18)</f>
        <v>3.5</v>
      </c>
      <c r="T19" s="215">
        <f>SUM(T5:T18)</f>
        <v>170772</v>
      </c>
      <c r="U19" s="83">
        <f t="shared" si="3"/>
        <v>0.97079188221249502</v>
      </c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</row>
    <row r="21" spans="1:42" ht="15.5" x14ac:dyDescent="0.35">
      <c r="Q21" s="21"/>
    </row>
  </sheetData>
  <mergeCells count="10">
    <mergeCell ref="Q2:U2"/>
    <mergeCell ref="A2:G2"/>
    <mergeCell ref="A3:G3"/>
    <mergeCell ref="Q3:U3"/>
    <mergeCell ref="H3:J3"/>
    <mergeCell ref="H1:J1"/>
    <mergeCell ref="K1:M1"/>
    <mergeCell ref="N1:P1"/>
    <mergeCell ref="Q1:S1"/>
    <mergeCell ref="T1:U1"/>
  </mergeCells>
  <phoneticPr fontId="2" type="noConversion"/>
  <printOptions horizontalCentered="1" verticalCentered="1"/>
  <pageMargins left="0.23622047244094491" right="0.23622047244094491" top="0.98425196850393704" bottom="0.98425196850393704" header="0.51181102362204722" footer="0.51181102362204722"/>
  <pageSetup paperSize="9" scale="96" orientation="landscape" r:id="rId1"/>
  <headerFooter alignWithMargins="0">
    <oddHeader xml:space="preserve">&amp;CDiabetic Retinopathy Screening - &amp;A
</oddHeader>
    <oddFooter>&amp;C&amp;Z&amp;F&amp;R&amp;P/&amp;N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29"/>
  <sheetViews>
    <sheetView workbookViewId="0">
      <selection activeCell="S4" sqref="S4"/>
    </sheetView>
  </sheetViews>
  <sheetFormatPr defaultRowHeight="12.5" x14ac:dyDescent="0.25"/>
  <cols>
    <col min="1" max="1" width="21.81640625" customWidth="1"/>
    <col min="2" max="6" width="8" customWidth="1"/>
    <col min="7" max="7" width="9.1796875" customWidth="1"/>
    <col min="8" max="8" width="7.1796875" style="2" customWidth="1"/>
    <col min="9" max="9" width="9.1796875" customWidth="1"/>
    <col min="10" max="10" width="7.1796875" style="2" customWidth="1"/>
    <col min="11" max="11" width="9.1796875" customWidth="1"/>
    <col min="12" max="12" width="7.1796875" style="2" customWidth="1"/>
    <col min="13" max="14" width="9.1796875" customWidth="1"/>
    <col min="15" max="15" width="7.1796875" style="2" customWidth="1"/>
    <col min="16" max="16" width="9.1796875" customWidth="1"/>
    <col min="17" max="17" width="7.1796875" style="2" customWidth="1"/>
    <col min="18" max="43" width="9.1796875" style="9"/>
  </cols>
  <sheetData>
    <row r="1" spans="1:43" s="37" customFormat="1" ht="54" customHeight="1" thickBot="1" x14ac:dyDescent="0.3">
      <c r="A1" s="46"/>
      <c r="B1" s="296" t="s">
        <v>0</v>
      </c>
      <c r="C1" s="281"/>
      <c r="D1" s="281"/>
      <c r="E1" s="281"/>
      <c r="F1" s="282"/>
      <c r="G1" s="296" t="s">
        <v>57</v>
      </c>
      <c r="H1" s="281"/>
      <c r="I1" s="281"/>
      <c r="J1" s="282"/>
      <c r="K1" s="296" t="s">
        <v>29</v>
      </c>
      <c r="L1" s="282"/>
      <c r="M1" s="296" t="s">
        <v>30</v>
      </c>
      <c r="N1" s="281"/>
      <c r="O1" s="282"/>
      <c r="P1" s="296" t="s">
        <v>31</v>
      </c>
      <c r="Q1" s="282"/>
      <c r="R1" s="45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</row>
    <row r="2" spans="1:43" s="42" customFormat="1" ht="149.25" customHeight="1" thickBot="1" x14ac:dyDescent="0.3">
      <c r="A2" s="125" t="s">
        <v>18</v>
      </c>
      <c r="B2" s="155" t="s">
        <v>1</v>
      </c>
      <c r="C2" s="156" t="s">
        <v>14</v>
      </c>
      <c r="D2" s="156" t="s">
        <v>19</v>
      </c>
      <c r="E2" s="156" t="s">
        <v>15</v>
      </c>
      <c r="F2" s="157" t="s">
        <v>16</v>
      </c>
      <c r="G2" s="134" t="s">
        <v>83</v>
      </c>
      <c r="H2" s="33" t="s">
        <v>71</v>
      </c>
      <c r="I2" s="150" t="s">
        <v>85</v>
      </c>
      <c r="J2" s="33" t="s">
        <v>72</v>
      </c>
      <c r="K2" s="150" t="s">
        <v>84</v>
      </c>
      <c r="L2" s="33" t="s">
        <v>73</v>
      </c>
      <c r="M2" s="134" t="s">
        <v>27</v>
      </c>
      <c r="N2" s="150" t="s">
        <v>28</v>
      </c>
      <c r="O2" s="33" t="s">
        <v>74</v>
      </c>
      <c r="P2" s="150" t="s">
        <v>86</v>
      </c>
      <c r="Q2" s="33" t="s">
        <v>75</v>
      </c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</row>
    <row r="3" spans="1:43" ht="15.75" customHeight="1" thickBot="1" x14ac:dyDescent="0.35">
      <c r="A3" s="128" t="s">
        <v>20</v>
      </c>
      <c r="B3" s="239">
        <f>('Summary Statistics KPI 0'!B10)</f>
        <v>25372</v>
      </c>
      <c r="C3" s="240">
        <f>('Summary Statistics KPI 0'!C10)</f>
        <v>1325</v>
      </c>
      <c r="D3" s="240">
        <f>('Summary Statistics KPI 0'!E10)</f>
        <v>2175</v>
      </c>
      <c r="E3" s="240">
        <f>('Summary Statistics KPI 0'!G10)</f>
        <v>19</v>
      </c>
      <c r="F3" s="241">
        <f>('Summary Statistics KPI 0'!I10)</f>
        <v>21891</v>
      </c>
      <c r="G3" s="204">
        <v>13401</v>
      </c>
      <c r="H3" s="121">
        <f>G3/F3</f>
        <v>0.61216938467863502</v>
      </c>
      <c r="I3" s="204">
        <v>12577</v>
      </c>
      <c r="J3" s="121">
        <f>I3/G3</f>
        <v>0.93851205133945226</v>
      </c>
      <c r="K3" s="204">
        <v>381</v>
      </c>
      <c r="L3" s="121">
        <f>K3/G3</f>
        <v>2.8430714125811506E-2</v>
      </c>
      <c r="M3" s="204">
        <v>104</v>
      </c>
      <c r="N3" s="85">
        <v>30</v>
      </c>
      <c r="O3" s="270">
        <f>(N3/M3)</f>
        <v>0.28846153846153844</v>
      </c>
      <c r="P3" s="204">
        <v>567</v>
      </c>
      <c r="Q3" s="121">
        <f>P3/G3</f>
        <v>4.2310275352585629E-2</v>
      </c>
    </row>
    <row r="4" spans="1:43" ht="15.75" customHeight="1" thickBot="1" x14ac:dyDescent="0.35">
      <c r="A4" s="31" t="s">
        <v>2</v>
      </c>
      <c r="B4" s="242">
        <f>('Summary Statistics KPI 0'!B11)</f>
        <v>8304</v>
      </c>
      <c r="C4" s="243">
        <f>('Summary Statistics KPI 0'!C11)</f>
        <v>808</v>
      </c>
      <c r="D4" s="243">
        <f>('Summary Statistics KPI 0'!E11)</f>
        <v>1440</v>
      </c>
      <c r="E4" s="243">
        <f>('Summary Statistics KPI 0'!G11)</f>
        <v>59</v>
      </c>
      <c r="F4" s="244">
        <f>('Summary Statistics KPI 0'!I11)</f>
        <v>6115</v>
      </c>
      <c r="G4" s="206">
        <v>3857</v>
      </c>
      <c r="H4" s="8">
        <f t="shared" ref="H4:H17" si="0">G4/F4</f>
        <v>0.63074407195421101</v>
      </c>
      <c r="I4" s="206">
        <v>3735</v>
      </c>
      <c r="J4" s="8">
        <f t="shared" ref="J4:J16" si="1">I4/G4</f>
        <v>0.96836919885921702</v>
      </c>
      <c r="K4" s="206">
        <v>39</v>
      </c>
      <c r="L4" s="8">
        <f t="shared" ref="L4:L17" si="2">K4/G4</f>
        <v>1.011148561057817E-2</v>
      </c>
      <c r="M4" s="206">
        <v>15</v>
      </c>
      <c r="N4" s="159">
        <v>10</v>
      </c>
      <c r="O4" s="270">
        <f t="shared" ref="O4:O16" si="3">(N4/M4)</f>
        <v>0.66666666666666663</v>
      </c>
      <c r="P4" s="206">
        <v>104</v>
      </c>
      <c r="Q4" s="8">
        <f t="shared" ref="Q4:Q17" si="4">P4/G4</f>
        <v>2.6963961628208452E-2</v>
      </c>
    </row>
    <row r="5" spans="1:43" ht="15.75" customHeight="1" thickBot="1" x14ac:dyDescent="0.35">
      <c r="A5" s="31" t="s">
        <v>3</v>
      </c>
      <c r="B5" s="242">
        <f>('Summary Statistics KPI 0'!B12)</f>
        <v>10275</v>
      </c>
      <c r="C5" s="243">
        <f>('Summary Statistics KPI 0'!C12)</f>
        <v>1011</v>
      </c>
      <c r="D5" s="243">
        <f>('Summary Statistics KPI 0'!E12)</f>
        <v>932</v>
      </c>
      <c r="E5" s="243">
        <f>('Summary Statistics KPI 0'!G12)</f>
        <v>173</v>
      </c>
      <c r="F5" s="244">
        <f>('Summary Statistics KPI 0'!I12)</f>
        <v>8505</v>
      </c>
      <c r="G5" s="206">
        <v>6521</v>
      </c>
      <c r="H5" s="8">
        <f t="shared" si="0"/>
        <v>0.76672545561434446</v>
      </c>
      <c r="I5" s="206">
        <v>6247</v>
      </c>
      <c r="J5" s="8">
        <f t="shared" si="1"/>
        <v>0.95798190461585642</v>
      </c>
      <c r="K5" s="206">
        <v>84</v>
      </c>
      <c r="L5" s="8">
        <f t="shared" si="2"/>
        <v>1.2881459898788529E-2</v>
      </c>
      <c r="M5" s="206">
        <v>25</v>
      </c>
      <c r="N5" s="159">
        <v>14</v>
      </c>
      <c r="O5" s="270">
        <f t="shared" si="3"/>
        <v>0.56000000000000005</v>
      </c>
      <c r="P5" s="206">
        <v>246</v>
      </c>
      <c r="Q5" s="8">
        <f t="shared" si="4"/>
        <v>3.772427541788069E-2</v>
      </c>
    </row>
    <row r="6" spans="1:43" ht="15.75" customHeight="1" thickBot="1" x14ac:dyDescent="0.35">
      <c r="A6" s="31" t="s">
        <v>4</v>
      </c>
      <c r="B6" s="242">
        <f>('Summary Statistics KPI 0'!B13)</f>
        <v>22251</v>
      </c>
      <c r="C6" s="243">
        <f>('Summary Statistics KPI 0'!C13)</f>
        <v>1904</v>
      </c>
      <c r="D6" s="243">
        <f>('Summary Statistics KPI 0'!E13)</f>
        <v>1139</v>
      </c>
      <c r="E6" s="243">
        <f>('Summary Statistics KPI 0'!G13)</f>
        <v>137</v>
      </c>
      <c r="F6" s="244">
        <f>('Summary Statistics KPI 0'!I13)</f>
        <v>19345</v>
      </c>
      <c r="G6" s="206">
        <v>12178</v>
      </c>
      <c r="H6" s="8">
        <f t="shared" si="0"/>
        <v>0.629516670974412</v>
      </c>
      <c r="I6" s="206">
        <v>11781</v>
      </c>
      <c r="J6" s="8">
        <f t="shared" si="1"/>
        <v>0.96740022992281161</v>
      </c>
      <c r="K6" s="206">
        <v>187</v>
      </c>
      <c r="L6" s="8">
        <f t="shared" si="2"/>
        <v>1.5355559205123994E-2</v>
      </c>
      <c r="M6" s="206">
        <v>67</v>
      </c>
      <c r="N6" s="159">
        <v>37</v>
      </c>
      <c r="O6" s="270">
        <f t="shared" si="3"/>
        <v>0.55223880597014929</v>
      </c>
      <c r="P6" s="206">
        <v>330</v>
      </c>
      <c r="Q6" s="8">
        <f t="shared" si="4"/>
        <v>2.7098045656101168E-2</v>
      </c>
    </row>
    <row r="7" spans="1:43" ht="15.75" customHeight="1" thickBot="1" x14ac:dyDescent="0.35">
      <c r="A7" s="31" t="s">
        <v>5</v>
      </c>
      <c r="B7" s="242">
        <f>('Summary Statistics KPI 0'!B14)</f>
        <v>17424</v>
      </c>
      <c r="C7" s="243">
        <f>('Summary Statistics KPI 0'!C14)</f>
        <v>940</v>
      </c>
      <c r="D7" s="243">
        <f>('Summary Statistics KPI 0'!E14)</f>
        <v>656</v>
      </c>
      <c r="E7" s="243">
        <f>('Summary Statistics KPI 0'!G14)</f>
        <v>337</v>
      </c>
      <c r="F7" s="244">
        <f>('Summary Statistics KPI 0'!I14)</f>
        <v>16165</v>
      </c>
      <c r="G7" s="206">
        <v>9860</v>
      </c>
      <c r="H7" s="8">
        <f t="shared" si="0"/>
        <v>0.60995978966903808</v>
      </c>
      <c r="I7" s="206">
        <v>9255</v>
      </c>
      <c r="J7" s="8">
        <f t="shared" si="1"/>
        <v>0.93864097363083165</v>
      </c>
      <c r="K7" s="206">
        <v>317</v>
      </c>
      <c r="L7" s="8">
        <f t="shared" si="2"/>
        <v>3.2150101419878299E-2</v>
      </c>
      <c r="M7" s="206">
        <v>115</v>
      </c>
      <c r="N7" s="159">
        <v>56</v>
      </c>
      <c r="O7" s="270">
        <f t="shared" si="3"/>
        <v>0.48695652173913045</v>
      </c>
      <c r="P7" s="206">
        <v>349</v>
      </c>
      <c r="Q7" s="8">
        <f t="shared" si="4"/>
        <v>3.5395537525354973E-2</v>
      </c>
    </row>
    <row r="8" spans="1:43" s="11" customFormat="1" ht="15.75" customHeight="1" thickBot="1" x14ac:dyDescent="0.35">
      <c r="A8" s="65" t="s">
        <v>6</v>
      </c>
      <c r="B8" s="242">
        <f>('Summary Statistics KPI 0'!B15)</f>
        <v>31343</v>
      </c>
      <c r="C8" s="243">
        <f>('Summary Statistics KPI 0'!C15)</f>
        <v>1634</v>
      </c>
      <c r="D8" s="243">
        <f>('Summary Statistics KPI 0'!E15)</f>
        <v>2982</v>
      </c>
      <c r="E8" s="243">
        <f>('Summary Statistics KPI 0'!G15)</f>
        <v>339</v>
      </c>
      <c r="F8" s="244">
        <f>('Summary Statistics KPI 0'!I15)</f>
        <v>27066</v>
      </c>
      <c r="G8" s="206">
        <v>17714</v>
      </c>
      <c r="H8" s="66">
        <f t="shared" si="0"/>
        <v>0.65447424813419053</v>
      </c>
      <c r="I8" s="206">
        <v>16427</v>
      </c>
      <c r="J8" s="66">
        <f t="shared" si="1"/>
        <v>0.927345602348425</v>
      </c>
      <c r="K8" s="206">
        <v>329</v>
      </c>
      <c r="L8" s="66">
        <f t="shared" si="2"/>
        <v>1.8572880207745286E-2</v>
      </c>
      <c r="M8" s="206">
        <v>126</v>
      </c>
      <c r="N8" s="159">
        <v>68</v>
      </c>
      <c r="O8" s="270">
        <f t="shared" si="3"/>
        <v>0.53968253968253965</v>
      </c>
      <c r="P8" s="206">
        <v>1125</v>
      </c>
      <c r="Q8" s="66">
        <f t="shared" si="4"/>
        <v>6.3509088856271878E-2</v>
      </c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</row>
    <row r="9" spans="1:43" ht="15.75" customHeight="1" thickBot="1" x14ac:dyDescent="0.35">
      <c r="A9" s="31" t="s">
        <v>7</v>
      </c>
      <c r="B9" s="242">
        <f>('Summary Statistics KPI 0'!B16)</f>
        <v>66685</v>
      </c>
      <c r="C9" s="243">
        <f>('Summary Statistics KPI 0'!C16)</f>
        <v>6795</v>
      </c>
      <c r="D9" s="243">
        <f>('Summary Statistics KPI 0'!E16)</f>
        <v>3444</v>
      </c>
      <c r="E9" s="243">
        <f>('Summary Statistics KPI 0'!G16)</f>
        <v>1642</v>
      </c>
      <c r="F9" s="244">
        <f>('Summary Statistics KPI 0'!I16)</f>
        <v>58088</v>
      </c>
      <c r="G9" s="206">
        <v>35977</v>
      </c>
      <c r="H9" s="8">
        <f t="shared" si="0"/>
        <v>0.61935339484919427</v>
      </c>
      <c r="I9" s="206">
        <v>34068</v>
      </c>
      <c r="J9" s="8">
        <f t="shared" si="1"/>
        <v>0.94693832170553405</v>
      </c>
      <c r="K9" s="206">
        <v>579</v>
      </c>
      <c r="L9" s="8">
        <f t="shared" si="2"/>
        <v>1.6093615365372321E-2</v>
      </c>
      <c r="M9" s="206">
        <v>192</v>
      </c>
      <c r="N9" s="159">
        <v>40</v>
      </c>
      <c r="O9" s="270">
        <f t="shared" si="3"/>
        <v>0.20833333333333334</v>
      </c>
      <c r="P9" s="206">
        <v>1507</v>
      </c>
      <c r="Q9" s="8">
        <f t="shared" si="4"/>
        <v>4.1887872807627097E-2</v>
      </c>
      <c r="S9" s="59"/>
    </row>
    <row r="10" spans="1:43" ht="15.75" customHeight="1" thickBot="1" x14ac:dyDescent="0.35">
      <c r="A10" s="31" t="s">
        <v>8</v>
      </c>
      <c r="B10" s="242">
        <f>('Summary Statistics KPI 0'!B17)</f>
        <v>18521</v>
      </c>
      <c r="C10" s="243">
        <f>('Summary Statistics KPI 0'!C17)</f>
        <v>1510</v>
      </c>
      <c r="D10" s="243">
        <f>('Summary Statistics KPI 0'!E17)</f>
        <v>1373</v>
      </c>
      <c r="E10" s="243">
        <f>('Summary Statistics KPI 0'!G17)</f>
        <v>313</v>
      </c>
      <c r="F10" s="244">
        <f>('Summary Statistics KPI 0'!I17)</f>
        <v>15951</v>
      </c>
      <c r="G10" s="206">
        <v>10061</v>
      </c>
      <c r="H10" s="8">
        <f t="shared" si="0"/>
        <v>0.63074415397153782</v>
      </c>
      <c r="I10" s="206">
        <v>9748</v>
      </c>
      <c r="J10" s="8">
        <f t="shared" si="1"/>
        <v>0.96888977238843055</v>
      </c>
      <c r="K10" s="206">
        <v>106</v>
      </c>
      <c r="L10" s="8">
        <f t="shared" si="2"/>
        <v>1.0535732034589008E-2</v>
      </c>
      <c r="M10" s="206">
        <v>35</v>
      </c>
      <c r="N10" s="159">
        <v>11</v>
      </c>
      <c r="O10" s="270">
        <f t="shared" si="3"/>
        <v>0.31428571428571428</v>
      </c>
      <c r="P10" s="206">
        <v>259</v>
      </c>
      <c r="Q10" s="8">
        <f t="shared" si="4"/>
        <v>2.5742967895835404E-2</v>
      </c>
    </row>
    <row r="11" spans="1:43" ht="15.75" customHeight="1" thickBot="1" x14ac:dyDescent="0.35">
      <c r="A11" s="31" t="s">
        <v>9</v>
      </c>
      <c r="B11" s="242">
        <f>('Summary Statistics KPI 0'!B18)</f>
        <v>40178</v>
      </c>
      <c r="C11" s="243">
        <f>('Summary Statistics KPI 0'!C18)</f>
        <v>3413</v>
      </c>
      <c r="D11" s="243">
        <f>('Summary Statistics KPI 0'!E18)</f>
        <v>2349</v>
      </c>
      <c r="E11" s="243">
        <f>('Summary Statistics KPI 0'!G18)</f>
        <v>653</v>
      </c>
      <c r="F11" s="244">
        <f>('Summary Statistics KPI 0'!I18)</f>
        <v>35069</v>
      </c>
      <c r="G11" s="206">
        <v>21349</v>
      </c>
      <c r="H11" s="8">
        <f t="shared" si="0"/>
        <v>0.60877127947760135</v>
      </c>
      <c r="I11" s="206">
        <v>20767</v>
      </c>
      <c r="J11" s="8">
        <f t="shared" si="1"/>
        <v>0.97273876996580633</v>
      </c>
      <c r="K11" s="206">
        <v>183</v>
      </c>
      <c r="L11" s="8">
        <f t="shared" si="2"/>
        <v>8.5718300622979991E-3</v>
      </c>
      <c r="M11" s="206">
        <v>62</v>
      </c>
      <c r="N11" s="159">
        <v>38</v>
      </c>
      <c r="O11" s="270">
        <f t="shared" si="3"/>
        <v>0.61290322580645162</v>
      </c>
      <c r="P11" s="206">
        <v>578</v>
      </c>
      <c r="Q11" s="8">
        <f t="shared" si="4"/>
        <v>2.7073867628460348E-2</v>
      </c>
    </row>
    <row r="12" spans="1:43" ht="15.75" customHeight="1" thickBot="1" x14ac:dyDescent="0.35">
      <c r="A12" s="31" t="s">
        <v>10</v>
      </c>
      <c r="B12" s="242">
        <f>('Summary Statistics KPI 0'!B19)</f>
        <v>45566</v>
      </c>
      <c r="C12" s="243">
        <f>('Summary Statistics KPI 0'!C19)</f>
        <v>2827</v>
      </c>
      <c r="D12" s="243">
        <f>('Summary Statistics KPI 0'!E19)</f>
        <v>5223</v>
      </c>
      <c r="E12" s="243">
        <f>('Summary Statistics KPI 0'!G19)</f>
        <v>171</v>
      </c>
      <c r="F12" s="244">
        <f>('Summary Statistics KPI 0'!I19)</f>
        <v>37687</v>
      </c>
      <c r="G12" s="206">
        <v>23314</v>
      </c>
      <c r="H12" s="8">
        <f t="shared" si="0"/>
        <v>0.61862180592777349</v>
      </c>
      <c r="I12" s="206">
        <v>22672</v>
      </c>
      <c r="J12" s="8">
        <f t="shared" si="1"/>
        <v>0.97246289782963025</v>
      </c>
      <c r="K12" s="206">
        <v>244</v>
      </c>
      <c r="L12" s="8">
        <f t="shared" si="2"/>
        <v>1.0465814532040834E-2</v>
      </c>
      <c r="M12" s="206">
        <v>79</v>
      </c>
      <c r="N12" s="159">
        <v>22</v>
      </c>
      <c r="O12" s="270">
        <f t="shared" si="3"/>
        <v>0.27848101265822783</v>
      </c>
      <c r="P12" s="206">
        <v>559</v>
      </c>
      <c r="Q12" s="8">
        <f t="shared" si="4"/>
        <v>2.3977009522175515E-2</v>
      </c>
      <c r="S12" s="197"/>
    </row>
    <row r="13" spans="1:43" ht="15.75" customHeight="1" thickBot="1" x14ac:dyDescent="0.35">
      <c r="A13" s="31" t="s">
        <v>11</v>
      </c>
      <c r="B13" s="242">
        <f>('Summary Statistics KPI 0'!B20)</f>
        <v>1256</v>
      </c>
      <c r="C13" s="243">
        <f>('Summary Statistics KPI 0'!C20)</f>
        <v>83</v>
      </c>
      <c r="D13" s="243">
        <f>('Summary Statistics KPI 0'!E20)</f>
        <v>93</v>
      </c>
      <c r="E13" s="243">
        <f>('Summary Statistics KPI 0'!G20)</f>
        <v>10</v>
      </c>
      <c r="F13" s="244">
        <f>('Summary Statistics KPI 0'!I20)</f>
        <v>1090</v>
      </c>
      <c r="G13" s="206">
        <v>794</v>
      </c>
      <c r="H13" s="8">
        <f t="shared" si="0"/>
        <v>0.72844036697247705</v>
      </c>
      <c r="I13" s="206">
        <v>730</v>
      </c>
      <c r="J13" s="8">
        <f t="shared" si="1"/>
        <v>0.91939546599496225</v>
      </c>
      <c r="K13" s="206">
        <v>18</v>
      </c>
      <c r="L13" s="8">
        <f t="shared" si="2"/>
        <v>2.2670025188916875E-2</v>
      </c>
      <c r="M13" s="206">
        <v>5</v>
      </c>
      <c r="N13" s="159">
        <v>5</v>
      </c>
      <c r="O13" s="270">
        <f t="shared" si="3"/>
        <v>1</v>
      </c>
      <c r="P13" s="206">
        <v>49</v>
      </c>
      <c r="Q13" s="8">
        <f t="shared" si="4"/>
        <v>6.1712846347607056E-2</v>
      </c>
    </row>
    <row r="14" spans="1:43" ht="15.75" customHeight="1" thickBot="1" x14ac:dyDescent="0.35">
      <c r="A14" s="31" t="s">
        <v>12</v>
      </c>
      <c r="B14" s="242">
        <f>('Summary Statistics KPI 0'!B21)</f>
        <v>1221</v>
      </c>
      <c r="C14" s="243">
        <f>('Summary Statistics KPI 0'!C21)</f>
        <v>106</v>
      </c>
      <c r="D14" s="243">
        <f>('Summary Statistics KPI 0'!E21)</f>
        <v>85</v>
      </c>
      <c r="E14" s="243">
        <f>('Summary Statistics KPI 0'!G21)</f>
        <v>35</v>
      </c>
      <c r="F14" s="244">
        <f>('Summary Statistics KPI 0'!I21)</f>
        <v>1065</v>
      </c>
      <c r="G14" s="206">
        <v>686</v>
      </c>
      <c r="H14" s="8">
        <f t="shared" si="0"/>
        <v>0.64413145539906103</v>
      </c>
      <c r="I14" s="206">
        <v>618</v>
      </c>
      <c r="J14" s="8">
        <f t="shared" si="1"/>
        <v>0.9008746355685131</v>
      </c>
      <c r="K14" s="206">
        <v>11</v>
      </c>
      <c r="L14" s="8">
        <f t="shared" si="2"/>
        <v>1.6034985422740525E-2</v>
      </c>
      <c r="M14" s="206">
        <v>6</v>
      </c>
      <c r="N14" s="159">
        <v>4</v>
      </c>
      <c r="O14" s="270">
        <f t="shared" si="3"/>
        <v>0.66666666666666663</v>
      </c>
      <c r="P14" s="206">
        <v>59</v>
      </c>
      <c r="Q14" s="8">
        <f t="shared" si="4"/>
        <v>8.600583090379009E-2</v>
      </c>
    </row>
    <row r="15" spans="1:43" ht="15.75" customHeight="1" thickBot="1" x14ac:dyDescent="0.35">
      <c r="A15" s="31" t="s">
        <v>13</v>
      </c>
      <c r="B15" s="242">
        <f>('Summary Statistics KPI 0'!B22)</f>
        <v>24971</v>
      </c>
      <c r="C15" s="243">
        <f>('Summary Statistics KPI 0'!C22)</f>
        <v>2043</v>
      </c>
      <c r="D15" s="243">
        <f>('Summary Statistics KPI 0'!E22)</f>
        <v>1857</v>
      </c>
      <c r="E15" s="243">
        <f>('Summary Statistics KPI 0'!G22)</f>
        <v>412</v>
      </c>
      <c r="F15" s="244">
        <f>('Summary Statistics KPI 0'!I22)</f>
        <v>21483</v>
      </c>
      <c r="G15" s="206">
        <v>13942</v>
      </c>
      <c r="H15" s="8">
        <f t="shared" si="0"/>
        <v>0.64897826188148766</v>
      </c>
      <c r="I15" s="206">
        <v>13168</v>
      </c>
      <c r="J15" s="8">
        <f t="shared" si="1"/>
        <v>0.94448429206713524</v>
      </c>
      <c r="K15" s="206">
        <v>158</v>
      </c>
      <c r="L15" s="8">
        <f t="shared" si="2"/>
        <v>1.1332663893272128E-2</v>
      </c>
      <c r="M15" s="206">
        <v>59</v>
      </c>
      <c r="N15" s="159">
        <v>16</v>
      </c>
      <c r="O15" s="270">
        <f t="shared" si="3"/>
        <v>0.2711864406779661</v>
      </c>
      <c r="P15" s="206">
        <v>743</v>
      </c>
      <c r="Q15" s="8">
        <f t="shared" si="4"/>
        <v>5.3292210586716397E-2</v>
      </c>
    </row>
    <row r="16" spans="1:43" ht="15.75" customHeight="1" thickBot="1" x14ac:dyDescent="0.35">
      <c r="A16" s="91" t="s">
        <v>21</v>
      </c>
      <c r="B16" s="245">
        <f>('Summary Statistics KPI 0'!B23)</f>
        <v>1520</v>
      </c>
      <c r="C16" s="246">
        <f>('Summary Statistics KPI 0'!C23)</f>
        <v>188</v>
      </c>
      <c r="D16" s="246">
        <f>('Summary Statistics KPI 0'!E23)</f>
        <v>102</v>
      </c>
      <c r="E16" s="246">
        <f>('Summary Statistics KPI 0'!G23)</f>
        <v>37</v>
      </c>
      <c r="F16" s="247">
        <f>('Summary Statistics KPI 0'!I23)</f>
        <v>1267</v>
      </c>
      <c r="G16" s="208">
        <v>821</v>
      </c>
      <c r="H16" s="13">
        <f t="shared" si="0"/>
        <v>0.64798737174427778</v>
      </c>
      <c r="I16" s="208">
        <v>786</v>
      </c>
      <c r="J16" s="13">
        <f t="shared" si="1"/>
        <v>0.95736906211936668</v>
      </c>
      <c r="K16" s="208">
        <v>8</v>
      </c>
      <c r="L16" s="13">
        <f t="shared" si="2"/>
        <v>9.7442143727161992E-3</v>
      </c>
      <c r="M16" s="208">
        <v>4</v>
      </c>
      <c r="N16" s="162">
        <v>0</v>
      </c>
      <c r="O16" s="270">
        <f t="shared" si="3"/>
        <v>0</v>
      </c>
      <c r="P16" s="208">
        <v>30</v>
      </c>
      <c r="Q16" s="13">
        <f t="shared" si="4"/>
        <v>3.6540803897685749E-2</v>
      </c>
    </row>
    <row r="17" spans="1:43" s="108" customFormat="1" ht="15.75" customHeight="1" thickBot="1" x14ac:dyDescent="0.35">
      <c r="A17" s="151" t="s">
        <v>60</v>
      </c>
      <c r="B17" s="213">
        <f>('Summary Statistics KPI 0'!B24)</f>
        <v>314887</v>
      </c>
      <c r="C17" s="214">
        <f>('Summary Statistics KPI 0'!C24)</f>
        <v>24587</v>
      </c>
      <c r="D17" s="214">
        <f>('Summary Statistics KPI 0'!E24)</f>
        <v>23850</v>
      </c>
      <c r="E17" s="214">
        <f>('Summary Statistics KPI 0'!G24)</f>
        <v>4337</v>
      </c>
      <c r="F17" s="248">
        <f>('Summary Statistics KPI 0'!I24)</f>
        <v>270787</v>
      </c>
      <c r="G17" s="249">
        <f>SUM(G3:G16)</f>
        <v>170475</v>
      </c>
      <c r="H17" s="152">
        <f t="shared" si="0"/>
        <v>0.6295538559827466</v>
      </c>
      <c r="I17" s="250">
        <f>SUM(I3:I16)</f>
        <v>162579</v>
      </c>
      <c r="J17" s="152">
        <f>I17/G17</f>
        <v>0.95368235811702595</v>
      </c>
      <c r="K17" s="213">
        <f>SUM(K3:K16)</f>
        <v>2644</v>
      </c>
      <c r="L17" s="152">
        <f t="shared" si="2"/>
        <v>1.5509605514004985E-2</v>
      </c>
      <c r="M17" s="213">
        <f>SUM(M3:M16)</f>
        <v>894</v>
      </c>
      <c r="N17" s="214">
        <f>SUM(N3:N16)</f>
        <v>351</v>
      </c>
      <c r="O17" s="251">
        <f>(N17/M17)</f>
        <v>0.39261744966442952</v>
      </c>
      <c r="P17" s="215">
        <f>SUM(P3:P16)</f>
        <v>6505</v>
      </c>
      <c r="Q17" s="152">
        <f t="shared" si="4"/>
        <v>3.815808769614313E-2</v>
      </c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</row>
    <row r="18" spans="1:43" x14ac:dyDescent="0.25">
      <c r="M18" s="10"/>
      <c r="N18" s="10"/>
    </row>
    <row r="29" spans="1:43" x14ac:dyDescent="0.25">
      <c r="O29" s="37"/>
    </row>
  </sheetData>
  <mergeCells count="5">
    <mergeCell ref="B1:F1"/>
    <mergeCell ref="P1:Q1"/>
    <mergeCell ref="G1:J1"/>
    <mergeCell ref="K1:L1"/>
    <mergeCell ref="M1:O1"/>
  </mergeCells>
  <phoneticPr fontId="0" type="noConversion"/>
  <printOptions horizontalCentered="1" verticalCentered="1"/>
  <pageMargins left="0.19685039370078741" right="0.19685039370078741" top="1.2204724409448819" bottom="0.62992125984251968" header="0.43307086614173229" footer="0.39370078740157483"/>
  <pageSetup paperSize="9" scale="95" orientation="landscape" r:id="rId1"/>
  <headerFooter alignWithMargins="0">
    <oddHeader xml:space="preserve">&amp;CDiabetic Retinopathy Screening - &amp;A
</oddHeader>
    <oddFooter>&amp;C&amp;Z&amp;F&amp;R&amp;P/&amp;N</oddFooter>
  </headerFooter>
  <ignoredErrors>
    <ignoredError sqref="H17 J17 L17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03"/>
  <sheetViews>
    <sheetView topLeftCell="C1" zoomScaleNormal="100" zoomScaleSheetLayoutView="85" workbookViewId="0">
      <selection activeCell="V24" sqref="V24"/>
    </sheetView>
  </sheetViews>
  <sheetFormatPr defaultRowHeight="12.5" x14ac:dyDescent="0.25"/>
  <cols>
    <col min="1" max="1" width="23.54296875" customWidth="1"/>
    <col min="2" max="2" width="9" customWidth="1"/>
    <col min="3" max="6" width="7.453125" customWidth="1"/>
    <col min="7" max="7" width="9.1796875" customWidth="1"/>
    <col min="8" max="8" width="8" style="14" customWidth="1"/>
    <col min="9" max="9" width="9.1796875" customWidth="1"/>
    <col min="10" max="10" width="8" style="2" customWidth="1"/>
    <col min="11" max="11" width="10" customWidth="1"/>
    <col min="12" max="12" width="17.81640625" customWidth="1"/>
    <col min="13" max="13" width="12.1796875" customWidth="1"/>
    <col min="23" max="35" width="9.1796875" style="9"/>
  </cols>
  <sheetData>
    <row r="1" spans="1:35" s="37" customFormat="1" ht="28.5" customHeight="1" thickBot="1" x14ac:dyDescent="0.3">
      <c r="B1" s="331" t="s">
        <v>0</v>
      </c>
      <c r="C1" s="332"/>
      <c r="D1" s="332"/>
      <c r="E1" s="332"/>
      <c r="F1" s="333"/>
      <c r="G1" s="326" t="s">
        <v>51</v>
      </c>
      <c r="H1" s="327"/>
      <c r="I1" s="327"/>
      <c r="J1" s="327"/>
      <c r="K1" s="327"/>
      <c r="L1" s="327"/>
      <c r="M1" s="328"/>
      <c r="N1" s="281" t="s">
        <v>90</v>
      </c>
      <c r="O1" s="281"/>
      <c r="P1" s="282"/>
      <c r="Q1" s="296" t="s">
        <v>24</v>
      </c>
      <c r="R1" s="281"/>
      <c r="S1" s="282"/>
      <c r="T1" s="296" t="s">
        <v>25</v>
      </c>
      <c r="U1" s="281"/>
      <c r="V1" s="282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</row>
    <row r="2" spans="1:35" s="1" customFormat="1" ht="147.75" customHeight="1" thickBot="1" x14ac:dyDescent="0.3">
      <c r="A2" s="261" t="s">
        <v>116</v>
      </c>
      <c r="B2" s="177"/>
      <c r="C2" s="178"/>
      <c r="D2" s="178"/>
      <c r="E2" s="178"/>
      <c r="F2" s="178"/>
      <c r="G2" s="179"/>
      <c r="H2" s="180"/>
      <c r="I2" s="181"/>
      <c r="J2" s="180"/>
      <c r="K2" s="329" t="s">
        <v>93</v>
      </c>
      <c r="L2" s="329"/>
      <c r="M2" s="330"/>
      <c r="N2" s="334" t="s">
        <v>96</v>
      </c>
      <c r="O2" s="334"/>
      <c r="P2" s="335"/>
      <c r="Q2" s="177"/>
      <c r="R2" s="178"/>
      <c r="S2" s="182"/>
      <c r="T2" s="177"/>
      <c r="U2" s="178"/>
      <c r="V2" s="183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</row>
    <row r="3" spans="1:35" s="43" customFormat="1" ht="166.65" customHeight="1" thickBot="1" x14ac:dyDescent="0.3">
      <c r="A3" s="184" t="s">
        <v>18</v>
      </c>
      <c r="B3" s="185" t="s">
        <v>1</v>
      </c>
      <c r="C3" s="186" t="s">
        <v>14</v>
      </c>
      <c r="D3" s="186" t="s">
        <v>19</v>
      </c>
      <c r="E3" s="186" t="s">
        <v>15</v>
      </c>
      <c r="F3" s="187" t="s">
        <v>16</v>
      </c>
      <c r="G3" s="188" t="s">
        <v>22</v>
      </c>
      <c r="H3" s="189" t="s">
        <v>76</v>
      </c>
      <c r="I3" s="174" t="s">
        <v>88</v>
      </c>
      <c r="J3" s="189" t="s">
        <v>77</v>
      </c>
      <c r="K3" s="174" t="s">
        <v>59</v>
      </c>
      <c r="L3" s="189" t="s">
        <v>56</v>
      </c>
      <c r="M3" s="190" t="s">
        <v>23</v>
      </c>
      <c r="N3" s="173" t="s">
        <v>91</v>
      </c>
      <c r="O3" s="174" t="s">
        <v>92</v>
      </c>
      <c r="P3" s="175" t="s">
        <v>78</v>
      </c>
      <c r="Q3" s="176" t="s">
        <v>87</v>
      </c>
      <c r="R3" s="35" t="s">
        <v>17</v>
      </c>
      <c r="S3" s="175" t="s">
        <v>79</v>
      </c>
      <c r="T3" s="118" t="s">
        <v>26</v>
      </c>
      <c r="U3" s="35" t="s">
        <v>17</v>
      </c>
      <c r="V3" s="175" t="s">
        <v>80</v>
      </c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</row>
    <row r="4" spans="1:35" s="2" customFormat="1" ht="15.75" customHeight="1" x14ac:dyDescent="0.3">
      <c r="A4" s="135" t="s">
        <v>20</v>
      </c>
      <c r="B4" s="92">
        <f>('Summary Statistics KPI 0'!B10)</f>
        <v>25372</v>
      </c>
      <c r="C4" s="85">
        <f>('Summary Statistics KPI 0'!C10)</f>
        <v>1325</v>
      </c>
      <c r="D4" s="85">
        <f>('Summary Statistics KPI 0'!E10)</f>
        <v>2175</v>
      </c>
      <c r="E4" s="85">
        <f>('Summary Statistics KPI 0'!G10)</f>
        <v>19</v>
      </c>
      <c r="F4" s="93">
        <f>('Summary Statistics KPI 0'!I10)</f>
        <v>21891</v>
      </c>
      <c r="G4" s="210">
        <v>188</v>
      </c>
      <c r="H4" s="170">
        <f>IF(G4=0,"0.0%",G4/F4)</f>
        <v>8.5880042026403539E-3</v>
      </c>
      <c r="I4" s="210">
        <v>131</v>
      </c>
      <c r="J4" s="170">
        <f>IF(I4=0,"0.0%",I4/G4)</f>
        <v>0.69680851063829785</v>
      </c>
      <c r="K4" s="210">
        <v>177</v>
      </c>
      <c r="L4" s="171" t="str">
        <f>INT((K4)/7)&amp;" weeks "&amp;MOD(K4,7)&amp;" days"</f>
        <v>25 weeks 2 days</v>
      </c>
      <c r="M4" s="85">
        <v>88</v>
      </c>
      <c r="N4" s="85">
        <v>188</v>
      </c>
      <c r="O4" s="85">
        <v>78</v>
      </c>
      <c r="P4" s="172">
        <f>IF(O4=0,"0.0%",O4/N4)</f>
        <v>0.41489361702127658</v>
      </c>
      <c r="Q4" s="210">
        <v>605</v>
      </c>
      <c r="R4" s="210">
        <v>23088</v>
      </c>
      <c r="S4" s="172">
        <f>IF(Q4=0,"0.0%",Q4/R4)</f>
        <v>2.6204088704088704E-2</v>
      </c>
      <c r="T4" s="210">
        <v>1197</v>
      </c>
      <c r="U4" s="210">
        <v>23088</v>
      </c>
      <c r="V4" s="172">
        <f>IF(T4=0,"0.0%",T4/U4)</f>
        <v>5.1845114345114345E-2</v>
      </c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</row>
    <row r="5" spans="1:35" s="2" customFormat="1" ht="15.75" customHeight="1" x14ac:dyDescent="0.3">
      <c r="A5" s="24" t="s">
        <v>2</v>
      </c>
      <c r="B5" s="158">
        <f>('Summary Statistics KPI 0'!B11)</f>
        <v>8304</v>
      </c>
      <c r="C5" s="159">
        <f>('Summary Statistics KPI 0'!C11)</f>
        <v>808</v>
      </c>
      <c r="D5" s="159">
        <f>('Summary Statistics KPI 0'!E11)</f>
        <v>1440</v>
      </c>
      <c r="E5" s="159">
        <f>('Summary Statistics KPI 0'!G11)</f>
        <v>59</v>
      </c>
      <c r="F5" s="160">
        <f>('Summary Statistics KPI 0'!I11)</f>
        <v>6115</v>
      </c>
      <c r="G5" s="211">
        <v>29</v>
      </c>
      <c r="H5" s="124">
        <f t="shared" ref="H5:H18" si="0">IF(G5=0,"0.0%",G5/F5)</f>
        <v>4.7424366312346687E-3</v>
      </c>
      <c r="I5" s="211">
        <v>8</v>
      </c>
      <c r="J5" s="124">
        <f t="shared" ref="J5:J18" si="1">IF(I5=0,"0.0%",I5/G5)</f>
        <v>0.27586206896551724</v>
      </c>
      <c r="K5" s="211">
        <v>160</v>
      </c>
      <c r="L5" s="164" t="str">
        <f t="shared" ref="L5:L18" si="2">INT((K5)/7)&amp;" weeks "&amp;MOD(K5,7)&amp;" days"</f>
        <v>22 weeks 6 days</v>
      </c>
      <c r="M5" s="159">
        <v>50</v>
      </c>
      <c r="N5" s="159">
        <v>29</v>
      </c>
      <c r="O5" s="159">
        <v>7</v>
      </c>
      <c r="P5" s="8">
        <f t="shared" ref="P5:P18" si="3">IF(O5=0,"0.0%",O5/N5)</f>
        <v>0.2413793103448276</v>
      </c>
      <c r="Q5" s="211">
        <v>123</v>
      </c>
      <c r="R5" s="211">
        <v>6822</v>
      </c>
      <c r="S5" s="8">
        <f t="shared" ref="S5:S18" si="4">IF(Q5=0,"0.0%",Q5/R5)</f>
        <v>1.8029903254177661E-2</v>
      </c>
      <c r="T5" s="211">
        <v>707</v>
      </c>
      <c r="U5" s="211">
        <v>6822</v>
      </c>
      <c r="V5" s="8">
        <f t="shared" ref="V5:V18" si="5">IF(T5=0,"0.0%",T5/U5)</f>
        <v>0.10363529756669598</v>
      </c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</row>
    <row r="6" spans="1:35" s="2" customFormat="1" ht="15.75" customHeight="1" x14ac:dyDescent="0.3">
      <c r="A6" s="24" t="s">
        <v>3</v>
      </c>
      <c r="B6" s="158">
        <f>('Summary Statistics KPI 0'!B12)</f>
        <v>10275</v>
      </c>
      <c r="C6" s="159">
        <f>('Summary Statistics KPI 0'!C12)</f>
        <v>1011</v>
      </c>
      <c r="D6" s="159">
        <f>('Summary Statistics KPI 0'!E12)</f>
        <v>932</v>
      </c>
      <c r="E6" s="159">
        <f>('Summary Statistics KPI 0'!G12)</f>
        <v>173</v>
      </c>
      <c r="F6" s="160">
        <f>('Summary Statistics KPI 0'!I12)</f>
        <v>8505</v>
      </c>
      <c r="G6" s="211">
        <v>77</v>
      </c>
      <c r="H6" s="124">
        <f t="shared" si="0"/>
        <v>9.0534979423868307E-3</v>
      </c>
      <c r="I6" s="211">
        <v>69</v>
      </c>
      <c r="J6" s="124">
        <f t="shared" si="1"/>
        <v>0.89610389610389607</v>
      </c>
      <c r="K6" s="211">
        <v>132</v>
      </c>
      <c r="L6" s="164" t="str">
        <f t="shared" si="2"/>
        <v>18 weeks 6 days</v>
      </c>
      <c r="M6" s="159">
        <v>59</v>
      </c>
      <c r="N6" s="159">
        <v>77</v>
      </c>
      <c r="O6" s="159">
        <v>65</v>
      </c>
      <c r="P6" s="8">
        <f t="shared" si="3"/>
        <v>0.8441558441558441</v>
      </c>
      <c r="Q6" s="211">
        <v>342</v>
      </c>
      <c r="R6" s="211">
        <v>9292</v>
      </c>
      <c r="S6" s="8">
        <f t="shared" si="4"/>
        <v>3.6805854498493329E-2</v>
      </c>
      <c r="T6" s="211">
        <v>787</v>
      </c>
      <c r="U6" s="211">
        <v>9292</v>
      </c>
      <c r="V6" s="8">
        <f t="shared" si="5"/>
        <v>8.4696513129573825E-2</v>
      </c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</row>
    <row r="7" spans="1:35" s="2" customFormat="1" ht="15.75" customHeight="1" x14ac:dyDescent="0.3">
      <c r="A7" s="24" t="s">
        <v>4</v>
      </c>
      <c r="B7" s="158">
        <f>('Summary Statistics KPI 0'!B13)</f>
        <v>22251</v>
      </c>
      <c r="C7" s="159">
        <f>('Summary Statistics KPI 0'!C13)</f>
        <v>1904</v>
      </c>
      <c r="D7" s="159">
        <f>('Summary Statistics KPI 0'!E13)</f>
        <v>1139</v>
      </c>
      <c r="E7" s="159">
        <f>('Summary Statistics KPI 0'!G13)</f>
        <v>137</v>
      </c>
      <c r="F7" s="160">
        <f>('Summary Statistics KPI 0'!I13)</f>
        <v>19345</v>
      </c>
      <c r="G7" s="211">
        <v>94</v>
      </c>
      <c r="H7" s="124">
        <f t="shared" si="0"/>
        <v>4.8591367278366503E-3</v>
      </c>
      <c r="I7" s="211">
        <v>1</v>
      </c>
      <c r="J7" s="124">
        <f t="shared" si="1"/>
        <v>1.0638297872340425E-2</v>
      </c>
      <c r="K7" s="211">
        <v>25</v>
      </c>
      <c r="L7" s="164" t="str">
        <f t="shared" si="2"/>
        <v>3 weeks 4 days</v>
      </c>
      <c r="M7" s="159">
        <v>25</v>
      </c>
      <c r="N7" s="159">
        <v>94</v>
      </c>
      <c r="O7" s="159">
        <v>1</v>
      </c>
      <c r="P7" s="8">
        <f t="shared" si="3"/>
        <v>1.0638297872340425E-2</v>
      </c>
      <c r="Q7" s="211">
        <v>24</v>
      </c>
      <c r="R7" s="211">
        <v>20976</v>
      </c>
      <c r="S7" s="8">
        <f t="shared" si="4"/>
        <v>1.1441647597254005E-3</v>
      </c>
      <c r="T7" s="211">
        <v>1631</v>
      </c>
      <c r="U7" s="211">
        <v>20976</v>
      </c>
      <c r="V7" s="8">
        <f t="shared" si="5"/>
        <v>7.7755530129672012E-2</v>
      </c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</row>
    <row r="8" spans="1:35" s="2" customFormat="1" ht="15.75" customHeight="1" x14ac:dyDescent="0.3">
      <c r="A8" s="24" t="s">
        <v>5</v>
      </c>
      <c r="B8" s="158">
        <f>('Summary Statistics KPI 0'!B14)</f>
        <v>17424</v>
      </c>
      <c r="C8" s="159">
        <f>('Summary Statistics KPI 0'!C14)</f>
        <v>940</v>
      </c>
      <c r="D8" s="159">
        <f>('Summary Statistics KPI 0'!E14)</f>
        <v>656</v>
      </c>
      <c r="E8" s="159">
        <f>('Summary Statistics KPI 0'!G14)</f>
        <v>337</v>
      </c>
      <c r="F8" s="160">
        <f>('Summary Statistics KPI 0'!I14)</f>
        <v>16165</v>
      </c>
      <c r="G8" s="211">
        <v>124</v>
      </c>
      <c r="H8" s="124">
        <f t="shared" si="0"/>
        <v>7.6708939065883077E-3</v>
      </c>
      <c r="I8" s="211">
        <v>88</v>
      </c>
      <c r="J8" s="124">
        <f t="shared" si="1"/>
        <v>0.70967741935483875</v>
      </c>
      <c r="K8" s="211">
        <v>180</v>
      </c>
      <c r="L8" s="164" t="str">
        <f t="shared" si="2"/>
        <v>25 weeks 5 days</v>
      </c>
      <c r="M8" s="159">
        <v>63</v>
      </c>
      <c r="N8" s="159">
        <v>124</v>
      </c>
      <c r="O8" s="159">
        <v>84</v>
      </c>
      <c r="P8" s="8">
        <f t="shared" si="3"/>
        <v>0.67741935483870963</v>
      </c>
      <c r="Q8" s="211">
        <v>473</v>
      </c>
      <c r="R8" s="211">
        <v>16686</v>
      </c>
      <c r="S8" s="8">
        <f t="shared" si="4"/>
        <v>2.8347117343881099E-2</v>
      </c>
      <c r="T8" s="211">
        <v>521</v>
      </c>
      <c r="U8" s="211">
        <v>16686</v>
      </c>
      <c r="V8" s="8">
        <f t="shared" si="5"/>
        <v>3.1223780414718925E-2</v>
      </c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</row>
    <row r="9" spans="1:35" s="14" customFormat="1" ht="15.75" customHeight="1" x14ac:dyDescent="0.3">
      <c r="A9" s="68" t="s">
        <v>6</v>
      </c>
      <c r="B9" s="158">
        <f>('Summary Statistics KPI 0'!B15)</f>
        <v>31343</v>
      </c>
      <c r="C9" s="159">
        <f>('Summary Statistics KPI 0'!C15)</f>
        <v>1634</v>
      </c>
      <c r="D9" s="159">
        <f>('Summary Statistics KPI 0'!E15)</f>
        <v>2982</v>
      </c>
      <c r="E9" s="159">
        <f>('Summary Statistics KPI 0'!G15)</f>
        <v>339</v>
      </c>
      <c r="F9" s="160">
        <f>('Summary Statistics KPI 0'!I15)</f>
        <v>27066</v>
      </c>
      <c r="G9" s="211">
        <v>314</v>
      </c>
      <c r="H9" s="124">
        <f t="shared" si="0"/>
        <v>1.1601270967265204E-2</v>
      </c>
      <c r="I9" s="211">
        <v>255</v>
      </c>
      <c r="J9" s="124">
        <f t="shared" si="1"/>
        <v>0.81210191082802552</v>
      </c>
      <c r="K9" s="211">
        <v>175</v>
      </c>
      <c r="L9" s="164" t="str">
        <f t="shared" si="2"/>
        <v>25 weeks 0 days</v>
      </c>
      <c r="M9" s="159">
        <v>63</v>
      </c>
      <c r="N9" s="159">
        <v>314</v>
      </c>
      <c r="O9" s="159">
        <v>267</v>
      </c>
      <c r="P9" s="8">
        <f t="shared" si="3"/>
        <v>0.85031847133757965</v>
      </c>
      <c r="Q9" s="211">
        <v>1608</v>
      </c>
      <c r="R9" s="211">
        <v>28192</v>
      </c>
      <c r="S9" s="8">
        <f t="shared" si="4"/>
        <v>5.7037457434733256E-2</v>
      </c>
      <c r="T9" s="211">
        <v>1126</v>
      </c>
      <c r="U9" s="211">
        <v>28192</v>
      </c>
      <c r="V9" s="8">
        <f t="shared" si="5"/>
        <v>3.9940408626560724E-2</v>
      </c>
    </row>
    <row r="10" spans="1:35" s="2" customFormat="1" ht="15.75" customHeight="1" x14ac:dyDescent="0.3">
      <c r="A10" s="24" t="s">
        <v>7</v>
      </c>
      <c r="B10" s="158">
        <f>('Summary Statistics KPI 0'!B16)</f>
        <v>66685</v>
      </c>
      <c r="C10" s="159">
        <f>('Summary Statistics KPI 0'!C16)</f>
        <v>6795</v>
      </c>
      <c r="D10" s="159">
        <f>('Summary Statistics KPI 0'!E16)</f>
        <v>3444</v>
      </c>
      <c r="E10" s="159">
        <f>('Summary Statistics KPI 0'!G16)</f>
        <v>1642</v>
      </c>
      <c r="F10" s="160">
        <f>('Summary Statistics KPI 0'!I16)</f>
        <v>58088</v>
      </c>
      <c r="G10" s="211">
        <v>491</v>
      </c>
      <c r="H10" s="124">
        <f t="shared" si="0"/>
        <v>8.4526924666023968E-3</v>
      </c>
      <c r="I10" s="211">
        <v>312</v>
      </c>
      <c r="J10" s="124">
        <f t="shared" si="1"/>
        <v>0.63543788187372707</v>
      </c>
      <c r="K10" s="211">
        <v>173</v>
      </c>
      <c r="L10" s="164" t="str">
        <f t="shared" si="2"/>
        <v>24 weeks 5 days</v>
      </c>
      <c r="M10" s="159">
        <v>53</v>
      </c>
      <c r="N10" s="159">
        <v>491</v>
      </c>
      <c r="O10" s="159">
        <v>321</v>
      </c>
      <c r="P10" s="8">
        <f t="shared" si="3"/>
        <v>0.65376782077393081</v>
      </c>
      <c r="Q10" s="211">
        <v>5347</v>
      </c>
      <c r="R10" s="211">
        <v>63011</v>
      </c>
      <c r="S10" s="8">
        <f t="shared" si="4"/>
        <v>8.4858199362016162E-2</v>
      </c>
      <c r="T10" s="211">
        <v>4923</v>
      </c>
      <c r="U10" s="211">
        <v>63011</v>
      </c>
      <c r="V10" s="8">
        <f t="shared" si="5"/>
        <v>7.812921553379569E-2</v>
      </c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</row>
    <row r="11" spans="1:35" s="2" customFormat="1" ht="15.75" customHeight="1" x14ac:dyDescent="0.3">
      <c r="A11" s="24" t="s">
        <v>8</v>
      </c>
      <c r="B11" s="158">
        <f>('Summary Statistics KPI 0'!B17)</f>
        <v>18521</v>
      </c>
      <c r="C11" s="159">
        <f>('Summary Statistics KPI 0'!C17)</f>
        <v>1510</v>
      </c>
      <c r="D11" s="159">
        <f>('Summary Statistics KPI 0'!E17)</f>
        <v>1373</v>
      </c>
      <c r="E11" s="159">
        <f>('Summary Statistics KPI 0'!G17)</f>
        <v>313</v>
      </c>
      <c r="F11" s="160">
        <f>('Summary Statistics KPI 0'!I17)</f>
        <v>15951</v>
      </c>
      <c r="G11" s="211">
        <v>80</v>
      </c>
      <c r="H11" s="124">
        <f t="shared" si="0"/>
        <v>5.0153595385869221E-3</v>
      </c>
      <c r="I11" s="211">
        <v>5</v>
      </c>
      <c r="J11" s="124">
        <f t="shared" si="1"/>
        <v>6.25E-2</v>
      </c>
      <c r="K11" s="211">
        <v>166</v>
      </c>
      <c r="L11" s="164" t="str">
        <f t="shared" si="2"/>
        <v>23 weeks 5 days</v>
      </c>
      <c r="M11" s="159">
        <v>77</v>
      </c>
      <c r="N11" s="159">
        <v>80</v>
      </c>
      <c r="O11" s="159">
        <v>3</v>
      </c>
      <c r="P11" s="8">
        <f t="shared" si="3"/>
        <v>3.7499999999999999E-2</v>
      </c>
      <c r="Q11" s="211">
        <v>186</v>
      </c>
      <c r="R11" s="211">
        <v>17060</v>
      </c>
      <c r="S11" s="8">
        <f t="shared" si="4"/>
        <v>1.0902696365767878E-2</v>
      </c>
      <c r="T11" s="211">
        <v>1109</v>
      </c>
      <c r="U11" s="211">
        <v>17060</v>
      </c>
      <c r="V11" s="8">
        <f t="shared" si="5"/>
        <v>6.5005861664712783E-2</v>
      </c>
      <c r="W11" s="14"/>
      <c r="X11" s="19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</row>
    <row r="12" spans="1:35" s="2" customFormat="1" ht="15.75" customHeight="1" x14ac:dyDescent="0.3">
      <c r="A12" s="24" t="s">
        <v>9</v>
      </c>
      <c r="B12" s="158">
        <f>('Summary Statistics KPI 0'!B18)</f>
        <v>40178</v>
      </c>
      <c r="C12" s="159">
        <f>('Summary Statistics KPI 0'!C18)</f>
        <v>3413</v>
      </c>
      <c r="D12" s="159">
        <f>('Summary Statistics KPI 0'!E18)</f>
        <v>2349</v>
      </c>
      <c r="E12" s="159">
        <f>('Summary Statistics KPI 0'!G18)</f>
        <v>653</v>
      </c>
      <c r="F12" s="160">
        <f>('Summary Statistics KPI 0'!I18)</f>
        <v>35069</v>
      </c>
      <c r="G12" s="211">
        <v>205</v>
      </c>
      <c r="H12" s="124">
        <f t="shared" si="0"/>
        <v>5.8456186375431289E-3</v>
      </c>
      <c r="I12" s="211">
        <v>17</v>
      </c>
      <c r="J12" s="124">
        <f t="shared" si="1"/>
        <v>8.2926829268292687E-2</v>
      </c>
      <c r="K12" s="211">
        <v>143</v>
      </c>
      <c r="L12" s="164" t="str">
        <f t="shared" si="2"/>
        <v>20 weeks 3 days</v>
      </c>
      <c r="M12" s="159">
        <v>66</v>
      </c>
      <c r="N12" s="159">
        <v>205</v>
      </c>
      <c r="O12" s="159">
        <v>15</v>
      </c>
      <c r="P12" s="8">
        <f t="shared" si="3"/>
        <v>7.3170731707317069E-2</v>
      </c>
      <c r="Q12" s="211">
        <v>1037</v>
      </c>
      <c r="R12" s="211">
        <v>37479</v>
      </c>
      <c r="S12" s="8">
        <f t="shared" si="4"/>
        <v>2.7668827876944423E-2</v>
      </c>
      <c r="T12" s="211">
        <v>2410</v>
      </c>
      <c r="U12" s="211">
        <v>37479</v>
      </c>
      <c r="V12" s="8">
        <f t="shared" si="5"/>
        <v>6.4302676165319247E-2</v>
      </c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</row>
    <row r="13" spans="1:35" s="2" customFormat="1" ht="15.75" customHeight="1" x14ac:dyDescent="0.3">
      <c r="A13" s="24" t="s">
        <v>10</v>
      </c>
      <c r="B13" s="158">
        <f>('Summary Statistics KPI 0'!B19)</f>
        <v>45566</v>
      </c>
      <c r="C13" s="159">
        <f>('Summary Statistics KPI 0'!C19)</f>
        <v>2827</v>
      </c>
      <c r="D13" s="159">
        <f>('Summary Statistics KPI 0'!E19)</f>
        <v>5223</v>
      </c>
      <c r="E13" s="159">
        <f>('Summary Statistics KPI 0'!G19)</f>
        <v>171</v>
      </c>
      <c r="F13" s="160">
        <f>('Summary Statistics KPI 0'!I19)</f>
        <v>37687</v>
      </c>
      <c r="G13" s="211">
        <v>202</v>
      </c>
      <c r="H13" s="124">
        <f t="shared" si="0"/>
        <v>5.3599384403109828E-3</v>
      </c>
      <c r="I13" s="211">
        <v>38</v>
      </c>
      <c r="J13" s="124">
        <f t="shared" si="1"/>
        <v>0.18811881188118812</v>
      </c>
      <c r="K13" s="211">
        <v>162</v>
      </c>
      <c r="L13" s="164" t="str">
        <f t="shared" si="2"/>
        <v>23 weeks 1 days</v>
      </c>
      <c r="M13" s="159">
        <v>42</v>
      </c>
      <c r="N13" s="159">
        <v>202</v>
      </c>
      <c r="O13" s="159">
        <v>37</v>
      </c>
      <c r="P13" s="8">
        <f t="shared" si="3"/>
        <v>0.18316831683168316</v>
      </c>
      <c r="Q13" s="211">
        <v>409</v>
      </c>
      <c r="R13" s="211">
        <v>40141</v>
      </c>
      <c r="S13" s="8">
        <f t="shared" si="4"/>
        <v>1.0189083480730426E-2</v>
      </c>
      <c r="T13" s="211">
        <v>2454</v>
      </c>
      <c r="U13" s="211">
        <v>40141</v>
      </c>
      <c r="V13" s="8">
        <f t="shared" si="5"/>
        <v>6.1134500884382555E-2</v>
      </c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</row>
    <row r="14" spans="1:35" s="2" customFormat="1" ht="15.75" customHeight="1" x14ac:dyDescent="0.3">
      <c r="A14" s="24" t="s">
        <v>11</v>
      </c>
      <c r="B14" s="158">
        <f>('Summary Statistics KPI 0'!B20)</f>
        <v>1256</v>
      </c>
      <c r="C14" s="159">
        <f>('Summary Statistics KPI 0'!C20)</f>
        <v>83</v>
      </c>
      <c r="D14" s="159">
        <f>('Summary Statistics KPI 0'!E20)</f>
        <v>93</v>
      </c>
      <c r="E14" s="159">
        <f>('Summary Statistics KPI 0'!G20)</f>
        <v>10</v>
      </c>
      <c r="F14" s="160">
        <f>('Summary Statistics KPI 0'!I20)</f>
        <v>1090</v>
      </c>
      <c r="G14" s="211">
        <v>10</v>
      </c>
      <c r="H14" s="124">
        <f t="shared" si="0"/>
        <v>9.1743119266055051E-3</v>
      </c>
      <c r="I14" s="211">
        <v>10</v>
      </c>
      <c r="J14" s="124">
        <f t="shared" si="1"/>
        <v>1</v>
      </c>
      <c r="K14" s="211">
        <v>162</v>
      </c>
      <c r="L14" s="164" t="str">
        <f t="shared" si="2"/>
        <v>23 weeks 1 days</v>
      </c>
      <c r="M14" s="159">
        <v>21</v>
      </c>
      <c r="N14" s="159">
        <v>10</v>
      </c>
      <c r="O14" s="159">
        <v>10</v>
      </c>
      <c r="P14" s="8">
        <f t="shared" si="3"/>
        <v>1</v>
      </c>
      <c r="Q14" s="211">
        <v>91</v>
      </c>
      <c r="R14" s="211">
        <v>1160</v>
      </c>
      <c r="S14" s="8">
        <f t="shared" si="4"/>
        <v>7.844827586206897E-2</v>
      </c>
      <c r="T14" s="211">
        <v>70</v>
      </c>
      <c r="U14" s="211">
        <v>1160</v>
      </c>
      <c r="V14" s="8">
        <f t="shared" si="5"/>
        <v>6.0344827586206899E-2</v>
      </c>
      <c r="W14" s="14"/>
      <c r="X14" s="198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</row>
    <row r="15" spans="1:35" s="2" customFormat="1" ht="15.75" customHeight="1" x14ac:dyDescent="0.3">
      <c r="A15" s="24" t="s">
        <v>12</v>
      </c>
      <c r="B15" s="158">
        <f>('Summary Statistics KPI 0'!B21)</f>
        <v>1221</v>
      </c>
      <c r="C15" s="159">
        <f>('Summary Statistics KPI 0'!C21)</f>
        <v>106</v>
      </c>
      <c r="D15" s="159">
        <f>('Summary Statistics KPI 0'!E21)</f>
        <v>85</v>
      </c>
      <c r="E15" s="159">
        <f>('Summary Statistics KPI 0'!G21)</f>
        <v>35</v>
      </c>
      <c r="F15" s="160">
        <f>('Summary Statistics KPI 0'!I21)</f>
        <v>1065</v>
      </c>
      <c r="G15" s="211">
        <v>26</v>
      </c>
      <c r="H15" s="124">
        <f t="shared" si="0"/>
        <v>2.4413145539906103E-2</v>
      </c>
      <c r="I15" s="211">
        <v>15</v>
      </c>
      <c r="J15" s="124">
        <f t="shared" si="1"/>
        <v>0.57692307692307687</v>
      </c>
      <c r="K15" s="211">
        <v>147</v>
      </c>
      <c r="L15" s="164" t="str">
        <f t="shared" si="2"/>
        <v>21 weeks 0 days</v>
      </c>
      <c r="M15" s="159">
        <v>54</v>
      </c>
      <c r="N15" s="159">
        <v>26</v>
      </c>
      <c r="O15" s="159">
        <v>12</v>
      </c>
      <c r="P15" s="8">
        <f t="shared" si="3"/>
        <v>0.46153846153846156</v>
      </c>
      <c r="Q15" s="211">
        <v>35</v>
      </c>
      <c r="R15" s="211">
        <v>1130</v>
      </c>
      <c r="S15" s="8">
        <f t="shared" si="4"/>
        <v>3.0973451327433628E-2</v>
      </c>
      <c r="T15" s="211">
        <v>65</v>
      </c>
      <c r="U15" s="211">
        <v>1130</v>
      </c>
      <c r="V15" s="8">
        <f t="shared" si="5"/>
        <v>5.7522123893805309E-2</v>
      </c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</row>
    <row r="16" spans="1:35" s="2" customFormat="1" ht="15.75" customHeight="1" x14ac:dyDescent="0.3">
      <c r="A16" s="24" t="s">
        <v>13</v>
      </c>
      <c r="B16" s="158">
        <f>('Summary Statistics KPI 0'!B22)</f>
        <v>24971</v>
      </c>
      <c r="C16" s="159">
        <f>('Summary Statistics KPI 0'!C22)</f>
        <v>2043</v>
      </c>
      <c r="D16" s="159">
        <f>('Summary Statistics KPI 0'!E22)</f>
        <v>1857</v>
      </c>
      <c r="E16" s="159">
        <f>('Summary Statistics KPI 0'!G22)</f>
        <v>412</v>
      </c>
      <c r="F16" s="160">
        <f>('Summary Statistics KPI 0'!I22)</f>
        <v>21483</v>
      </c>
      <c r="G16" s="211">
        <v>258</v>
      </c>
      <c r="H16" s="124">
        <f t="shared" si="0"/>
        <v>1.2009495880463622E-2</v>
      </c>
      <c r="I16" s="211">
        <v>8</v>
      </c>
      <c r="J16" s="124">
        <f t="shared" si="1"/>
        <v>3.1007751937984496E-2</v>
      </c>
      <c r="K16" s="211">
        <v>89</v>
      </c>
      <c r="L16" s="164" t="str">
        <f t="shared" si="2"/>
        <v>12 weeks 5 days</v>
      </c>
      <c r="M16" s="159">
        <v>55</v>
      </c>
      <c r="N16" s="159">
        <v>258</v>
      </c>
      <c r="O16" s="159">
        <v>8</v>
      </c>
      <c r="P16" s="8">
        <f t="shared" si="3"/>
        <v>3.1007751937984496E-2</v>
      </c>
      <c r="Q16" s="211">
        <v>151</v>
      </c>
      <c r="R16" s="211">
        <v>23015</v>
      </c>
      <c r="S16" s="8">
        <f t="shared" si="4"/>
        <v>6.5609385183575926E-3</v>
      </c>
      <c r="T16" s="211">
        <v>1532</v>
      </c>
      <c r="U16" s="211">
        <v>23015</v>
      </c>
      <c r="V16" s="8">
        <f t="shared" si="5"/>
        <v>6.6565283510753859E-2</v>
      </c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</row>
    <row r="17" spans="1:35" s="2" customFormat="1" ht="15.75" customHeight="1" thickBot="1" x14ac:dyDescent="0.35">
      <c r="A17" s="114" t="s">
        <v>21</v>
      </c>
      <c r="B17" s="161">
        <f>('Summary Statistics KPI 0'!B23)</f>
        <v>1520</v>
      </c>
      <c r="C17" s="162">
        <f>('Summary Statistics KPI 0'!C23)</f>
        <v>188</v>
      </c>
      <c r="D17" s="162">
        <f>('Summary Statistics KPI 0'!E23)</f>
        <v>102</v>
      </c>
      <c r="E17" s="162">
        <f>('Summary Statistics KPI 0'!G23)</f>
        <v>37</v>
      </c>
      <c r="F17" s="163">
        <f>('Summary Statistics KPI 0'!I23)</f>
        <v>1267</v>
      </c>
      <c r="G17" s="212">
        <v>11</v>
      </c>
      <c r="H17" s="148">
        <f t="shared" si="0"/>
        <v>8.6819258089976328E-3</v>
      </c>
      <c r="I17" s="212">
        <v>11</v>
      </c>
      <c r="J17" s="148">
        <f t="shared" si="1"/>
        <v>1</v>
      </c>
      <c r="K17" s="212">
        <v>143</v>
      </c>
      <c r="L17" s="165" t="str">
        <f t="shared" si="2"/>
        <v>20 weeks 3 days</v>
      </c>
      <c r="M17" s="162">
        <v>63</v>
      </c>
      <c r="N17" s="162">
        <v>11</v>
      </c>
      <c r="O17" s="162">
        <v>15</v>
      </c>
      <c r="P17" s="13">
        <f t="shared" si="3"/>
        <v>1.3636363636363635</v>
      </c>
      <c r="Q17" s="212">
        <v>106</v>
      </c>
      <c r="R17" s="212">
        <v>1409</v>
      </c>
      <c r="S17" s="13">
        <f t="shared" si="4"/>
        <v>7.5230660042583386E-2</v>
      </c>
      <c r="T17" s="212">
        <v>142</v>
      </c>
      <c r="U17" s="212">
        <v>1409</v>
      </c>
      <c r="V17" s="13">
        <f t="shared" si="5"/>
        <v>0.10078069552874379</v>
      </c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</row>
    <row r="18" spans="1:35" s="136" customFormat="1" ht="15.75" customHeight="1" thickBot="1" x14ac:dyDescent="0.3">
      <c r="A18" s="115" t="s">
        <v>60</v>
      </c>
      <c r="B18" s="111">
        <f>('Summary Statistics KPI 0'!B24)</f>
        <v>314887</v>
      </c>
      <c r="C18" s="112">
        <f>('Summary Statistics KPI 0'!C24)</f>
        <v>24587</v>
      </c>
      <c r="D18" s="112">
        <f>('Summary Statistics KPI 0'!E24)</f>
        <v>23850</v>
      </c>
      <c r="E18" s="112">
        <f>('Summary Statistics KPI 0'!G24)</f>
        <v>4337</v>
      </c>
      <c r="F18" s="113">
        <f>('Summary Statistics KPI 0'!I24)</f>
        <v>270787</v>
      </c>
      <c r="G18" s="213">
        <f>SUM(G4:G17)</f>
        <v>2109</v>
      </c>
      <c r="H18" s="252">
        <f t="shared" si="0"/>
        <v>7.788409340182505E-3</v>
      </c>
      <c r="I18" s="214">
        <v>8</v>
      </c>
      <c r="J18" s="252">
        <f t="shared" si="1"/>
        <v>3.793266951161688E-3</v>
      </c>
      <c r="K18" s="112">
        <f>MAX(K4:K17)</f>
        <v>180</v>
      </c>
      <c r="L18" s="166" t="str">
        <f t="shared" si="2"/>
        <v>25 weeks 5 days</v>
      </c>
      <c r="M18" s="253">
        <f>AVERAGE(M4:M17)</f>
        <v>55.642857142857146</v>
      </c>
      <c r="N18" s="213">
        <f>SUM(N4:N17)</f>
        <v>2109</v>
      </c>
      <c r="O18" s="214">
        <f>SUM(O4:O17)</f>
        <v>923</v>
      </c>
      <c r="P18" s="152">
        <f t="shared" si="3"/>
        <v>0.43764817449027976</v>
      </c>
      <c r="Q18" s="213">
        <f>SUM(Q4:Q17)</f>
        <v>10537</v>
      </c>
      <c r="R18" s="214">
        <f>SUM(R4:R17)</f>
        <v>289461</v>
      </c>
      <c r="S18" s="152">
        <f t="shared" si="4"/>
        <v>3.6402140530157778E-2</v>
      </c>
      <c r="T18" s="213">
        <f>SUM(T4:T17)</f>
        <v>18674</v>
      </c>
      <c r="U18" s="214">
        <f>SUM(U4:U17)</f>
        <v>289461</v>
      </c>
      <c r="V18" s="152">
        <f t="shared" si="5"/>
        <v>6.4513008660924964E-2</v>
      </c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</row>
    <row r="19" spans="1:35" s="15" customFormat="1" x14ac:dyDescent="0.25">
      <c r="H19" s="19"/>
      <c r="J19" s="20"/>
      <c r="N19"/>
      <c r="O19"/>
      <c r="P19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</row>
    <row r="87" spans="1:6" x14ac:dyDescent="0.25">
      <c r="A87" s="16"/>
      <c r="B87" s="16"/>
      <c r="C87" s="16"/>
      <c r="D87" s="16"/>
      <c r="E87" s="16"/>
      <c r="F87" s="16"/>
    </row>
    <row r="88" spans="1:6" ht="13" x14ac:dyDescent="0.3">
      <c r="A88" s="17"/>
      <c r="B88" s="17"/>
      <c r="C88" s="17"/>
      <c r="D88" s="17"/>
      <c r="E88" s="17"/>
      <c r="F88" s="17"/>
    </row>
    <row r="89" spans="1:6" ht="13" x14ac:dyDescent="0.3">
      <c r="A89" s="18"/>
      <c r="B89" s="18"/>
      <c r="C89" s="18"/>
      <c r="D89" s="18"/>
      <c r="E89" s="18"/>
      <c r="F89" s="18"/>
    </row>
    <row r="90" spans="1:6" ht="13" x14ac:dyDescent="0.3">
      <c r="A90" s="18"/>
      <c r="B90" s="18"/>
      <c r="C90" s="18"/>
      <c r="D90" s="18"/>
      <c r="E90" s="18"/>
      <c r="F90" s="18"/>
    </row>
    <row r="91" spans="1:6" ht="13" x14ac:dyDescent="0.3">
      <c r="A91" s="18"/>
      <c r="B91" s="18"/>
      <c r="C91" s="18"/>
      <c r="D91" s="18"/>
      <c r="E91" s="18"/>
      <c r="F91" s="18"/>
    </row>
    <row r="92" spans="1:6" ht="13" x14ac:dyDescent="0.3">
      <c r="A92" s="18"/>
      <c r="B92" s="18"/>
      <c r="C92" s="18"/>
      <c r="D92" s="18"/>
      <c r="E92" s="18"/>
      <c r="F92" s="18"/>
    </row>
    <row r="93" spans="1:6" ht="13" x14ac:dyDescent="0.3">
      <c r="A93" s="18"/>
      <c r="B93" s="18"/>
      <c r="C93" s="18"/>
      <c r="D93" s="18"/>
      <c r="E93" s="18"/>
      <c r="F93" s="18"/>
    </row>
    <row r="94" spans="1:6" ht="13" x14ac:dyDescent="0.3">
      <c r="A94" s="18"/>
      <c r="B94" s="18"/>
      <c r="C94" s="18"/>
      <c r="D94" s="18"/>
      <c r="E94" s="18"/>
      <c r="F94" s="18"/>
    </row>
    <row r="95" spans="1:6" ht="13" x14ac:dyDescent="0.3">
      <c r="A95" s="18"/>
      <c r="B95" s="18"/>
      <c r="C95" s="18"/>
      <c r="D95" s="18"/>
      <c r="E95" s="18"/>
      <c r="F95" s="18"/>
    </row>
    <row r="96" spans="1:6" ht="13" x14ac:dyDescent="0.3">
      <c r="A96" s="18"/>
      <c r="B96" s="18"/>
      <c r="C96" s="18"/>
      <c r="D96" s="18"/>
      <c r="E96" s="18"/>
      <c r="F96" s="18"/>
    </row>
    <row r="97" spans="1:6" ht="13" x14ac:dyDescent="0.3">
      <c r="A97" s="18"/>
      <c r="B97" s="18"/>
      <c r="C97" s="18"/>
      <c r="D97" s="18"/>
      <c r="E97" s="18"/>
      <c r="F97" s="18"/>
    </row>
    <row r="98" spans="1:6" ht="13" x14ac:dyDescent="0.3">
      <c r="A98" s="18"/>
      <c r="B98" s="18"/>
      <c r="C98" s="18"/>
      <c r="D98" s="18"/>
      <c r="E98" s="18"/>
      <c r="F98" s="18"/>
    </row>
    <row r="99" spans="1:6" ht="13" x14ac:dyDescent="0.3">
      <c r="A99" s="18"/>
      <c r="B99" s="18"/>
      <c r="C99" s="18"/>
      <c r="D99" s="18"/>
      <c r="E99" s="18"/>
      <c r="F99" s="18"/>
    </row>
    <row r="100" spans="1:6" ht="13" x14ac:dyDescent="0.3">
      <c r="A100" s="18"/>
      <c r="B100" s="18"/>
      <c r="C100" s="18"/>
      <c r="D100" s="18"/>
      <c r="E100" s="18"/>
      <c r="F100" s="18"/>
    </row>
    <row r="101" spans="1:6" ht="13" x14ac:dyDescent="0.3">
      <c r="A101" s="18"/>
      <c r="B101" s="18"/>
      <c r="C101" s="18"/>
      <c r="D101" s="18"/>
      <c r="E101" s="18"/>
      <c r="F101" s="18"/>
    </row>
    <row r="102" spans="1:6" ht="13" x14ac:dyDescent="0.3">
      <c r="A102" s="18"/>
      <c r="B102" s="18"/>
      <c r="C102" s="18"/>
      <c r="D102" s="18"/>
      <c r="E102" s="18"/>
      <c r="F102" s="18"/>
    </row>
    <row r="103" spans="1:6" ht="13" x14ac:dyDescent="0.3">
      <c r="A103" s="18"/>
      <c r="B103" s="18"/>
      <c r="C103" s="18"/>
      <c r="D103" s="18"/>
      <c r="E103" s="18"/>
      <c r="F103" s="18"/>
    </row>
  </sheetData>
  <mergeCells count="7">
    <mergeCell ref="T1:V1"/>
    <mergeCell ref="G1:M1"/>
    <mergeCell ref="K2:M2"/>
    <mergeCell ref="B1:F1"/>
    <mergeCell ref="N1:P1"/>
    <mergeCell ref="N2:P2"/>
    <mergeCell ref="Q1:S1"/>
  </mergeCells>
  <phoneticPr fontId="0" type="noConversion"/>
  <printOptions horizontalCentered="1" verticalCentered="1"/>
  <pageMargins left="0.19685039370078741" right="0.19685039370078741" top="0.62992125984251968" bottom="0.39370078740157483" header="0.23622047244094491" footer="0.23622047244094491"/>
  <pageSetup paperSize="9" scale="66" orientation="landscape" r:id="rId1"/>
  <headerFooter alignWithMargins="0">
    <oddHeader xml:space="preserve">&amp;C&amp;11Diabetic Retinopathy Screening - &amp;A
 </oddHeader>
    <oddFooter>&amp;C&amp;Z&amp;F&amp;R&amp;P/&amp;N</oddFooter>
  </headerFooter>
  <rowBreaks count="1" manualBreakCount="1">
    <brk id="19" max="12" man="1"/>
  </rowBreaks>
  <ignoredErrors>
    <ignoredError sqref="J18 H18 P18 S1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Summary Statistics KPI 0</vt:lpstr>
      <vt:lpstr>Screening uptake KPIs 1-7</vt:lpstr>
      <vt:lpstr>Screening performance KPIs 8-9</vt:lpstr>
      <vt:lpstr>Screening outcomes KPIs 10-13</vt:lpstr>
      <vt:lpstr>Ophtalmology perf KPIs 14-17</vt:lpstr>
      <vt:lpstr>'Ophtalmology perf KPIs 14-17'!Print_Area</vt:lpstr>
      <vt:lpstr>'Screening outcomes KPIs 10-13'!Print_Area</vt:lpstr>
      <vt:lpstr>'Screening performance KPIs 8-9'!Print_Area</vt:lpstr>
      <vt:lpstr>'Screening uptake KPIs 1-7'!Print_Area</vt:lpstr>
      <vt:lpstr>'Summary Statistics KPI 0'!Print_Area</vt:lpstr>
    </vt:vector>
  </TitlesOfParts>
  <Company>NHSG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mullee</dc:creator>
  <cp:lastModifiedBy>Jodie Meggison</cp:lastModifiedBy>
  <cp:lastPrinted>2015-05-07T13:18:28Z</cp:lastPrinted>
  <dcterms:created xsi:type="dcterms:W3CDTF">2011-06-17T13:29:52Z</dcterms:created>
  <dcterms:modified xsi:type="dcterms:W3CDTF">2019-11-26T17:02:46Z</dcterms:modified>
</cp:coreProperties>
</file>